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4/MeetResults/"/>
    </mc:Choice>
  </mc:AlternateContent>
  <xr:revisionPtr revIDLastSave="91" documentId="14_{B33BCF3D-820D-4A01-9FB5-54242186C979}" xr6:coauthVersionLast="47" xr6:coauthVersionMax="47" xr10:uidLastSave="{55D5DF97-E792-4BF1-BBB5-DBED958C2D12}"/>
  <bookViews>
    <workbookView xWindow="-108" yWindow="-108" windowWidth="23256" windowHeight="12456" tabRatio="857"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state="hidden" r:id="rId10"/>
    <sheet name="Lookup-DiverRoster" sheetId="12"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81" i="12" l="1"/>
  <c r="F2281" i="12"/>
  <c r="E2281" i="12"/>
  <c r="D2281" i="12"/>
  <c r="C2281" i="12"/>
  <c r="B2281" i="12"/>
  <c r="G2280" i="12"/>
  <c r="F2280" i="12"/>
  <c r="E2280" i="12"/>
  <c r="D2280" i="12"/>
  <c r="C2280" i="12"/>
  <c r="B2280" i="12"/>
  <c r="G2279" i="12"/>
  <c r="F2279" i="12"/>
  <c r="E2279" i="12"/>
  <c r="D2279" i="12"/>
  <c r="C2279" i="12"/>
  <c r="B2279" i="12"/>
  <c r="G2278" i="12"/>
  <c r="F2278" i="12"/>
  <c r="E2278" i="12"/>
  <c r="D2278" i="12"/>
  <c r="C2278" i="12"/>
  <c r="B2278" i="12"/>
  <c r="G2277" i="12"/>
  <c r="F2277" i="12"/>
  <c r="E2277" i="12"/>
  <c r="D2277" i="12"/>
  <c r="C2277" i="12"/>
  <c r="B2277" i="12"/>
  <c r="G2276" i="12"/>
  <c r="F2276" i="12"/>
  <c r="E2276" i="12"/>
  <c r="D2276" i="12"/>
  <c r="C2276" i="12"/>
  <c r="B2276" i="12"/>
  <c r="G2275" i="12"/>
  <c r="F2275" i="12"/>
  <c r="E2275" i="12"/>
  <c r="D2275" i="12"/>
  <c r="C2275" i="12"/>
  <c r="B2275" i="12"/>
  <c r="G2274" i="12"/>
  <c r="F2274" i="12"/>
  <c r="E2274" i="12"/>
  <c r="D2274" i="12"/>
  <c r="C2274" i="12"/>
  <c r="B2274" i="12"/>
  <c r="G2273" i="12"/>
  <c r="F2273" i="12"/>
  <c r="E2273" i="12"/>
  <c r="D2273" i="12"/>
  <c r="C2273" i="12"/>
  <c r="B2273" i="12"/>
  <c r="G2272" i="12"/>
  <c r="F2272" i="12"/>
  <c r="E2272" i="12"/>
  <c r="D2272" i="12"/>
  <c r="C2272" i="12"/>
  <c r="B2272" i="12"/>
  <c r="G2271" i="12"/>
  <c r="F2271" i="12"/>
  <c r="E2271" i="12"/>
  <c r="D2271" i="12"/>
  <c r="C2271" i="12"/>
  <c r="B2271" i="12"/>
  <c r="G2270" i="12"/>
  <c r="F2270" i="12"/>
  <c r="E2270" i="12"/>
  <c r="D2270" i="12"/>
  <c r="C2270" i="12"/>
  <c r="B2270" i="12"/>
  <c r="G2269" i="12"/>
  <c r="F2269" i="12"/>
  <c r="E2269" i="12"/>
  <c r="D2269" i="12"/>
  <c r="C2269" i="12"/>
  <c r="B2269" i="12"/>
  <c r="G2268" i="12"/>
  <c r="F2268" i="12"/>
  <c r="E2268" i="12"/>
  <c r="D2268" i="12"/>
  <c r="C2268" i="12"/>
  <c r="B2268" i="12"/>
  <c r="G2267" i="12"/>
  <c r="F2267" i="12"/>
  <c r="E2267" i="12"/>
  <c r="D2267" i="12"/>
  <c r="C2267" i="12"/>
  <c r="B2267" i="12"/>
  <c r="G2266" i="12"/>
  <c r="F2266" i="12"/>
  <c r="E2266" i="12"/>
  <c r="D2266" i="12"/>
  <c r="C2266" i="12"/>
  <c r="B2266" i="12"/>
  <c r="G2265" i="12"/>
  <c r="F2265" i="12"/>
  <c r="E2265" i="12"/>
  <c r="D2265" i="12"/>
  <c r="C2265" i="12"/>
  <c r="B2265" i="12"/>
  <c r="G2264" i="12"/>
  <c r="F2264" i="12"/>
  <c r="E2264" i="12"/>
  <c r="D2264" i="12"/>
  <c r="C2264" i="12"/>
  <c r="B2264" i="12"/>
  <c r="G2263" i="12"/>
  <c r="F2263" i="12"/>
  <c r="E2263" i="12"/>
  <c r="D2263" i="12"/>
  <c r="C2263" i="12"/>
  <c r="B2263" i="12"/>
  <c r="G2262" i="12"/>
  <c r="F2262" i="12"/>
  <c r="E2262" i="12"/>
  <c r="D2262" i="12"/>
  <c r="C2262" i="12"/>
  <c r="B2262" i="12"/>
  <c r="G2261" i="12"/>
  <c r="F2261" i="12"/>
  <c r="E2261" i="12"/>
  <c r="D2261" i="12"/>
  <c r="C2261" i="12"/>
  <c r="B2261" i="12"/>
  <c r="G2260" i="12"/>
  <c r="F2260" i="12"/>
  <c r="E2260" i="12"/>
  <c r="D2260" i="12"/>
  <c r="C2260" i="12"/>
  <c r="B2260" i="12"/>
  <c r="G2259" i="12"/>
  <c r="F2259" i="12"/>
  <c r="E2259" i="12"/>
  <c r="D2259" i="12"/>
  <c r="C2259" i="12"/>
  <c r="B2259" i="12"/>
  <c r="G2258" i="12"/>
  <c r="F2258" i="12"/>
  <c r="E2258" i="12"/>
  <c r="D2258" i="12"/>
  <c r="C2258" i="12"/>
  <c r="B2258" i="12"/>
  <c r="G2257" i="12"/>
  <c r="F2257" i="12"/>
  <c r="E2257" i="12"/>
  <c r="D2257" i="12"/>
  <c r="C2257" i="12"/>
  <c r="B2257" i="12"/>
  <c r="G2256" i="12"/>
  <c r="F2256" i="12"/>
  <c r="E2256" i="12"/>
  <c r="D2256" i="12"/>
  <c r="C2256" i="12"/>
  <c r="B2256" i="12"/>
  <c r="G2255" i="12"/>
  <c r="F2255" i="12"/>
  <c r="E2255" i="12"/>
  <c r="D2255" i="12"/>
  <c r="C2255" i="12"/>
  <c r="B2255" i="12"/>
  <c r="G2254" i="12"/>
  <c r="F2254" i="12"/>
  <c r="E2254" i="12"/>
  <c r="D2254" i="12"/>
  <c r="C2254" i="12"/>
  <c r="B2254" i="12"/>
  <c r="G2253" i="12"/>
  <c r="F2253" i="12"/>
  <c r="E2253" i="12"/>
  <c r="D2253" i="12"/>
  <c r="C2253" i="12"/>
  <c r="B2253" i="12"/>
  <c r="G2252" i="12"/>
  <c r="F2252" i="12"/>
  <c r="E2252" i="12"/>
  <c r="D2252" i="12"/>
  <c r="C2252" i="12"/>
  <c r="B2252" i="12"/>
  <c r="G2251" i="12"/>
  <c r="F2251" i="12"/>
  <c r="E2251" i="12"/>
  <c r="D2251" i="12"/>
  <c r="C2251" i="12"/>
  <c r="B2251" i="12"/>
  <c r="G2250" i="12"/>
  <c r="F2250" i="12"/>
  <c r="E2250" i="12"/>
  <c r="D2250" i="12"/>
  <c r="C2250" i="12"/>
  <c r="B2250" i="12"/>
  <c r="G2249" i="12"/>
  <c r="F2249" i="12"/>
  <c r="E2249" i="12"/>
  <c r="D2249" i="12"/>
  <c r="C2249" i="12"/>
  <c r="B2249" i="12"/>
  <c r="G2248" i="12"/>
  <c r="F2248" i="12"/>
  <c r="E2248" i="12"/>
  <c r="D2248" i="12"/>
  <c r="C2248" i="12"/>
  <c r="B2248" i="12"/>
  <c r="G2247" i="12"/>
  <c r="F2247" i="12"/>
  <c r="E2247" i="12"/>
  <c r="D2247" i="12"/>
  <c r="C2247" i="12"/>
  <c r="B2247" i="12"/>
  <c r="G2246" i="12"/>
  <c r="F2246" i="12"/>
  <c r="E2246" i="12"/>
  <c r="D2246" i="12"/>
  <c r="C2246" i="12"/>
  <c r="B2246" i="12"/>
  <c r="G2245" i="12"/>
  <c r="F2245" i="12"/>
  <c r="E2245" i="12"/>
  <c r="D2245" i="12"/>
  <c r="C2245" i="12"/>
  <c r="B2245" i="12"/>
  <c r="G2244" i="12"/>
  <c r="F2244" i="12"/>
  <c r="E2244" i="12"/>
  <c r="D2244" i="12"/>
  <c r="C2244" i="12"/>
  <c r="B2244" i="12"/>
  <c r="G2243" i="12"/>
  <c r="F2243" i="12"/>
  <c r="E2243" i="12"/>
  <c r="D2243" i="12"/>
  <c r="C2243" i="12"/>
  <c r="B2243" i="12"/>
  <c r="G2242" i="12"/>
  <c r="F2242" i="12"/>
  <c r="E2242" i="12"/>
  <c r="D2242" i="12"/>
  <c r="C2242" i="12"/>
  <c r="B2242" i="12"/>
  <c r="G2241" i="12"/>
  <c r="F2241" i="12"/>
  <c r="E2241" i="12"/>
  <c r="D2241" i="12"/>
  <c r="C2241" i="12"/>
  <c r="B2241" i="12"/>
  <c r="G2240" i="12"/>
  <c r="F2240" i="12"/>
  <c r="E2240" i="12"/>
  <c r="D2240" i="12"/>
  <c r="C2240" i="12"/>
  <c r="B2240" i="12"/>
  <c r="G2239" i="12"/>
  <c r="F2239" i="12"/>
  <c r="E2239" i="12"/>
  <c r="D2239" i="12"/>
  <c r="C2239" i="12"/>
  <c r="B2239" i="12"/>
  <c r="G2238" i="12"/>
  <c r="F2238" i="12"/>
  <c r="E2238" i="12"/>
  <c r="D2238" i="12"/>
  <c r="C2238" i="12"/>
  <c r="B2238" i="12"/>
  <c r="G2237" i="12"/>
  <c r="F2237" i="12"/>
  <c r="E2237" i="12"/>
  <c r="D2237" i="12"/>
  <c r="C2237" i="12"/>
  <c r="B2237" i="12"/>
  <c r="G2236" i="12"/>
  <c r="F2236" i="12"/>
  <c r="E2236" i="12"/>
  <c r="D2236" i="12"/>
  <c r="C2236" i="12"/>
  <c r="B2236" i="12"/>
  <c r="G2235" i="12"/>
  <c r="F2235" i="12"/>
  <c r="E2235" i="12"/>
  <c r="D2235" i="12"/>
  <c r="C2235" i="12"/>
  <c r="B2235" i="12"/>
  <c r="G2234" i="12"/>
  <c r="F2234" i="12"/>
  <c r="E2234" i="12"/>
  <c r="D2234" i="12"/>
  <c r="C2234" i="12"/>
  <c r="B2234" i="12"/>
  <c r="G2233" i="12"/>
  <c r="F2233" i="12"/>
  <c r="E2233" i="12"/>
  <c r="D2233" i="12"/>
  <c r="C2233" i="12"/>
  <c r="B2233" i="12"/>
  <c r="G2232" i="12"/>
  <c r="F2232" i="12"/>
  <c r="E2232" i="12"/>
  <c r="D2232" i="12"/>
  <c r="C2232" i="12"/>
  <c r="B2232" i="12"/>
  <c r="G2231" i="12"/>
  <c r="F2231" i="12"/>
  <c r="E2231" i="12"/>
  <c r="D2231" i="12"/>
  <c r="C2231" i="12"/>
  <c r="B2231" i="12"/>
  <c r="G2230" i="12"/>
  <c r="F2230" i="12"/>
  <c r="E2230" i="12"/>
  <c r="D2230" i="12"/>
  <c r="C2230" i="12"/>
  <c r="B2230" i="12"/>
  <c r="G2229" i="12"/>
  <c r="F2229" i="12"/>
  <c r="E2229" i="12"/>
  <c r="D2229" i="12"/>
  <c r="C2229" i="12"/>
  <c r="B2229" i="12"/>
  <c r="G2228" i="12"/>
  <c r="F2228" i="12"/>
  <c r="E2228" i="12"/>
  <c r="D2228" i="12"/>
  <c r="C2228" i="12"/>
  <c r="B2228" i="12"/>
  <c r="G2227" i="12"/>
  <c r="F2227" i="12"/>
  <c r="E2227" i="12"/>
  <c r="D2227" i="12"/>
  <c r="C2227" i="12"/>
  <c r="B2227" i="12"/>
  <c r="G2226" i="12"/>
  <c r="F2226" i="12"/>
  <c r="E2226" i="12"/>
  <c r="D2226" i="12"/>
  <c r="C2226" i="12"/>
  <c r="B2226" i="12"/>
  <c r="G2225" i="12"/>
  <c r="F2225" i="12"/>
  <c r="E2225" i="12"/>
  <c r="D2225" i="12"/>
  <c r="C2225" i="12"/>
  <c r="B2225" i="12"/>
  <c r="G2224" i="12"/>
  <c r="F2224" i="12"/>
  <c r="E2224" i="12"/>
  <c r="D2224" i="12"/>
  <c r="C2224" i="12"/>
  <c r="B2224" i="12"/>
  <c r="G2223" i="12"/>
  <c r="F2223" i="12"/>
  <c r="E2223" i="12"/>
  <c r="D2223" i="12"/>
  <c r="C2223" i="12"/>
  <c r="B2223" i="12"/>
  <c r="G2222" i="12"/>
  <c r="F2222" i="12"/>
  <c r="E2222" i="12"/>
  <c r="D2222" i="12"/>
  <c r="C2222" i="12"/>
  <c r="B2222" i="12"/>
  <c r="G2221" i="12"/>
  <c r="F2221" i="12"/>
  <c r="E2221" i="12"/>
  <c r="D2221" i="12"/>
  <c r="C2221" i="12"/>
  <c r="B2221" i="12"/>
  <c r="G2220" i="12"/>
  <c r="F2220" i="12"/>
  <c r="E2220" i="12"/>
  <c r="D2220" i="12"/>
  <c r="C2220" i="12"/>
  <c r="B2220" i="12"/>
  <c r="G2219" i="12"/>
  <c r="F2219" i="12"/>
  <c r="E2219" i="12"/>
  <c r="D2219" i="12"/>
  <c r="C2219" i="12"/>
  <c r="B2219" i="12"/>
  <c r="G2218" i="12"/>
  <c r="F2218" i="12"/>
  <c r="E2218" i="12"/>
  <c r="D2218" i="12"/>
  <c r="C2218" i="12"/>
  <c r="B2218" i="12"/>
  <c r="G2217" i="12"/>
  <c r="F2217" i="12"/>
  <c r="E2217" i="12"/>
  <c r="D2217" i="12"/>
  <c r="C2217" i="12"/>
  <c r="B2217" i="12"/>
  <c r="G2216" i="12"/>
  <c r="F2216" i="12"/>
  <c r="E2216" i="12"/>
  <c r="D2216" i="12"/>
  <c r="C2216" i="12"/>
  <c r="B2216" i="12"/>
  <c r="G2215" i="12"/>
  <c r="F2215" i="12"/>
  <c r="E2215" i="12"/>
  <c r="D2215" i="12"/>
  <c r="C2215" i="12"/>
  <c r="B2215" i="12"/>
  <c r="G2214" i="12"/>
  <c r="F2214" i="12"/>
  <c r="E2214" i="12"/>
  <c r="D2214" i="12"/>
  <c r="C2214" i="12"/>
  <c r="B2214" i="12"/>
  <c r="G2213" i="12"/>
  <c r="F2213" i="12"/>
  <c r="E2213" i="12"/>
  <c r="D2213" i="12"/>
  <c r="C2213" i="12"/>
  <c r="B2213" i="12"/>
  <c r="G2212" i="12"/>
  <c r="F2212" i="12"/>
  <c r="E2212" i="12"/>
  <c r="D2212" i="12"/>
  <c r="C2212" i="12"/>
  <c r="B2212" i="12"/>
  <c r="G2211" i="12"/>
  <c r="F2211" i="12"/>
  <c r="E2211" i="12"/>
  <c r="D2211" i="12"/>
  <c r="C2211" i="12"/>
  <c r="B2211" i="12"/>
  <c r="G2210" i="12"/>
  <c r="F2210" i="12"/>
  <c r="E2210" i="12"/>
  <c r="D2210" i="12"/>
  <c r="C2210" i="12"/>
  <c r="B2210" i="12"/>
  <c r="G2209" i="12"/>
  <c r="F2209" i="12"/>
  <c r="E2209" i="12"/>
  <c r="D2209" i="12"/>
  <c r="C2209" i="12"/>
  <c r="B2209" i="12"/>
  <c r="F2208" i="12"/>
  <c r="D2208" i="12"/>
  <c r="C2208" i="12"/>
  <c r="B2208" i="12"/>
  <c r="A2208" i="12"/>
  <c r="G2207" i="12"/>
  <c r="F2207" i="12"/>
  <c r="E2207" i="12"/>
  <c r="D2207" i="12"/>
  <c r="C2207" i="12"/>
  <c r="B2207" i="12"/>
  <c r="A2207" i="12"/>
  <c r="G2206" i="12"/>
  <c r="F2206" i="12"/>
  <c r="E2206" i="12"/>
  <c r="D2206" i="12"/>
  <c r="C2206" i="12"/>
  <c r="B2206" i="12"/>
  <c r="A2206" i="12"/>
  <c r="G2205" i="12"/>
  <c r="F2205" i="12"/>
  <c r="E2205" i="12"/>
  <c r="D2205" i="12"/>
  <c r="C2205" i="12"/>
  <c r="B2205" i="12"/>
  <c r="A2205" i="12"/>
  <c r="G2204" i="12"/>
  <c r="F2204" i="12"/>
  <c r="E2204" i="12"/>
  <c r="D2204" i="12"/>
  <c r="C2204" i="12"/>
  <c r="B2204" i="12"/>
  <c r="A2204" i="12"/>
  <c r="G2203" i="12"/>
  <c r="F2203" i="12"/>
  <c r="E2203" i="12"/>
  <c r="D2203" i="12"/>
  <c r="C2203" i="12"/>
  <c r="B2203" i="12"/>
  <c r="A2203" i="12"/>
  <c r="G2202" i="12"/>
  <c r="F2202" i="12"/>
  <c r="E2202" i="12"/>
  <c r="D2202" i="12"/>
  <c r="C2202" i="12"/>
  <c r="B2202" i="12"/>
  <c r="A2202" i="12"/>
  <c r="G2201" i="12"/>
  <c r="F2201" i="12"/>
  <c r="E2201" i="12"/>
  <c r="D2201" i="12"/>
  <c r="C2201" i="12"/>
  <c r="B2201" i="12"/>
  <c r="A2201" i="12"/>
  <c r="G2200" i="12"/>
  <c r="F2200" i="12"/>
  <c r="E2200" i="12"/>
  <c r="D2200" i="12"/>
  <c r="C2200" i="12"/>
  <c r="B2200" i="12"/>
  <c r="A2200" i="12"/>
  <c r="G2199" i="12"/>
  <c r="F2199" i="12"/>
  <c r="E2199" i="12"/>
  <c r="D2199" i="12"/>
  <c r="C2199" i="12"/>
  <c r="B2199" i="12"/>
  <c r="A2199" i="12"/>
  <c r="G2198" i="12"/>
  <c r="F2198" i="12"/>
  <c r="E2198" i="12"/>
  <c r="D2198" i="12"/>
  <c r="C2198" i="12"/>
  <c r="B2198" i="12"/>
  <c r="A2198" i="12"/>
  <c r="G2197" i="12"/>
  <c r="F2197" i="12"/>
  <c r="E2197" i="12"/>
  <c r="D2197" i="12"/>
  <c r="C2197" i="12"/>
  <c r="B2197" i="12"/>
  <c r="A2197" i="12"/>
  <c r="G2196" i="12"/>
  <c r="F2196" i="12"/>
  <c r="E2196" i="12"/>
  <c r="D2196" i="12"/>
  <c r="C2196" i="12"/>
  <c r="B2196" i="12"/>
  <c r="A2196" i="12"/>
  <c r="G2195" i="12"/>
  <c r="F2195" i="12"/>
  <c r="E2195" i="12"/>
  <c r="D2195" i="12"/>
  <c r="C2195" i="12"/>
  <c r="B2195" i="12"/>
  <c r="A2195" i="12"/>
  <c r="G2194" i="12"/>
  <c r="F2194" i="12"/>
  <c r="E2194" i="12"/>
  <c r="D2194" i="12"/>
  <c r="C2194" i="12"/>
  <c r="B2194" i="12"/>
  <c r="A2194" i="12"/>
  <c r="G2193" i="12"/>
  <c r="F2193" i="12"/>
  <c r="E2193" i="12"/>
  <c r="D2193" i="12"/>
  <c r="C2193" i="12"/>
  <c r="B2193" i="12"/>
  <c r="A2193" i="12"/>
  <c r="G2192" i="12"/>
  <c r="F2192" i="12"/>
  <c r="E2192" i="12"/>
  <c r="D2192" i="12"/>
  <c r="C2192" i="12"/>
  <c r="B2192" i="12"/>
  <c r="A2192" i="12"/>
  <c r="G2191" i="12"/>
  <c r="F2191" i="12"/>
  <c r="E2191" i="12"/>
  <c r="D2191" i="12"/>
  <c r="C2191" i="12"/>
  <c r="B2191" i="12"/>
  <c r="A2191" i="12"/>
  <c r="G2190" i="12"/>
  <c r="F2190" i="12"/>
  <c r="E2190" i="12"/>
  <c r="D2190" i="12"/>
  <c r="C2190" i="12"/>
  <c r="B2190" i="12"/>
  <c r="A2190" i="12"/>
  <c r="G2189" i="12"/>
  <c r="F2189" i="12"/>
  <c r="E2189" i="12"/>
  <c r="D2189" i="12"/>
  <c r="C2189" i="12"/>
  <c r="B2189" i="12"/>
  <c r="A2189" i="12"/>
  <c r="G2188" i="12"/>
  <c r="F2188" i="12"/>
  <c r="E2188" i="12"/>
  <c r="D2188" i="12"/>
  <c r="C2188" i="12"/>
  <c r="B2188" i="12"/>
  <c r="A2188" i="12"/>
  <c r="G2187" i="12"/>
  <c r="F2187" i="12"/>
  <c r="E2187" i="12"/>
  <c r="D2187" i="12"/>
  <c r="C2187" i="12"/>
  <c r="B2187" i="12"/>
  <c r="A2187" i="12"/>
  <c r="G2186" i="12"/>
  <c r="F2186" i="12"/>
  <c r="E2186" i="12"/>
  <c r="D2186" i="12"/>
  <c r="C2186" i="12"/>
  <c r="B2186" i="12"/>
  <c r="A2186" i="12"/>
  <c r="G2185" i="12"/>
  <c r="F2185" i="12"/>
  <c r="E2185" i="12"/>
  <c r="D2185" i="12"/>
  <c r="C2185" i="12"/>
  <c r="B2185" i="12"/>
  <c r="A2185" i="12"/>
  <c r="G2184" i="12"/>
  <c r="F2184" i="12"/>
  <c r="E2184" i="12"/>
  <c r="D2184" i="12"/>
  <c r="C2184" i="12"/>
  <c r="B2184" i="12"/>
  <c r="A2184" i="12"/>
  <c r="G2183" i="12"/>
  <c r="F2183" i="12"/>
  <c r="E2183" i="12"/>
  <c r="D2183" i="12"/>
  <c r="C2183" i="12"/>
  <c r="B2183" i="12"/>
  <c r="A2183" i="12"/>
  <c r="G2182" i="12"/>
  <c r="F2182" i="12"/>
  <c r="E2182" i="12"/>
  <c r="D2182" i="12"/>
  <c r="C2182" i="12"/>
  <c r="B2182" i="12"/>
  <c r="A2182" i="12"/>
  <c r="G2181" i="12"/>
  <c r="F2181" i="12"/>
  <c r="E2181" i="12"/>
  <c r="D2181" i="12"/>
  <c r="C2181" i="12"/>
  <c r="B2181" i="12"/>
  <c r="A2181" i="12"/>
  <c r="G2180" i="12"/>
  <c r="F2180" i="12"/>
  <c r="E2180" i="12"/>
  <c r="D2180" i="12"/>
  <c r="C2180" i="12"/>
  <c r="B2180" i="12"/>
  <c r="A2180" i="12"/>
  <c r="G2179" i="12"/>
  <c r="F2179" i="12"/>
  <c r="E2179" i="12"/>
  <c r="D2179" i="12"/>
  <c r="C2179" i="12"/>
  <c r="B2179" i="12"/>
  <c r="A2179" i="12"/>
  <c r="G2178" i="12"/>
  <c r="F2178" i="12"/>
  <c r="E2178" i="12"/>
  <c r="D2178" i="12"/>
  <c r="C2178" i="12"/>
  <c r="B2178" i="12"/>
  <c r="A2178" i="12"/>
  <c r="G2177" i="12"/>
  <c r="F2177" i="12"/>
  <c r="E2177" i="12"/>
  <c r="D2177" i="12"/>
  <c r="C2177" i="12"/>
  <c r="B2177" i="12"/>
  <c r="A2177" i="12"/>
  <c r="G2176" i="12"/>
  <c r="F2176" i="12"/>
  <c r="E2176" i="12"/>
  <c r="D2176" i="12"/>
  <c r="C2176" i="12"/>
  <c r="B2176" i="12"/>
  <c r="A2176" i="12"/>
  <c r="G2175" i="12"/>
  <c r="F2175" i="12"/>
  <c r="E2175" i="12"/>
  <c r="D2175" i="12"/>
  <c r="C2175" i="12"/>
  <c r="B2175" i="12"/>
  <c r="A2175" i="12"/>
  <c r="G2174" i="12"/>
  <c r="F2174" i="12"/>
  <c r="E2174" i="12"/>
  <c r="D2174" i="12"/>
  <c r="C2174" i="12"/>
  <c r="B2174" i="12"/>
  <c r="A2174" i="12"/>
  <c r="G2173" i="12"/>
  <c r="F2173" i="12"/>
  <c r="E2173" i="12"/>
  <c r="D2173" i="12"/>
  <c r="C2173" i="12"/>
  <c r="B2173" i="12"/>
  <c r="A2173" i="12"/>
  <c r="G2172" i="12"/>
  <c r="F2172" i="12"/>
  <c r="E2172" i="12"/>
  <c r="D2172" i="12"/>
  <c r="C2172" i="12"/>
  <c r="B2172" i="12"/>
  <c r="A2172" i="12"/>
  <c r="G2171" i="12"/>
  <c r="F2171" i="12"/>
  <c r="E2171" i="12"/>
  <c r="D2171" i="12"/>
  <c r="C2171" i="12"/>
  <c r="B2171" i="12"/>
  <c r="A2171" i="12"/>
  <c r="G2170" i="12"/>
  <c r="F2170" i="12"/>
  <c r="E2170" i="12"/>
  <c r="D2170" i="12"/>
  <c r="C2170" i="12"/>
  <c r="B2170" i="12"/>
  <c r="A2170" i="12"/>
  <c r="G2169" i="12"/>
  <c r="F2169" i="12"/>
  <c r="E2169" i="12"/>
  <c r="D2169" i="12"/>
  <c r="C2169" i="12"/>
  <c r="B2169" i="12"/>
  <c r="A2169" i="12"/>
  <c r="G2168" i="12"/>
  <c r="F2168" i="12"/>
  <c r="E2168" i="12"/>
  <c r="D2168" i="12"/>
  <c r="C2168" i="12"/>
  <c r="B2168" i="12"/>
  <c r="A2168" i="12"/>
  <c r="G2167" i="12"/>
  <c r="F2167" i="12"/>
  <c r="E2167" i="12"/>
  <c r="D2167" i="12"/>
  <c r="C2167" i="12"/>
  <c r="B2167" i="12"/>
  <c r="A2167" i="12"/>
  <c r="G2166" i="12"/>
  <c r="F2166" i="12"/>
  <c r="E2166" i="12"/>
  <c r="D2166" i="12"/>
  <c r="C2166" i="12"/>
  <c r="B2166" i="12"/>
  <c r="A2166" i="12"/>
  <c r="G2165" i="12"/>
  <c r="F2165" i="12"/>
  <c r="E2165" i="12"/>
  <c r="D2165" i="12"/>
  <c r="C2165" i="12"/>
  <c r="B2165" i="12"/>
  <c r="A2165" i="12"/>
  <c r="G2164" i="12"/>
  <c r="F2164" i="12"/>
  <c r="E2164" i="12"/>
  <c r="D2164" i="12"/>
  <c r="C2164" i="12"/>
  <c r="B2164" i="12"/>
  <c r="A2164" i="12"/>
  <c r="G2163" i="12"/>
  <c r="F2163" i="12"/>
  <c r="E2163" i="12"/>
  <c r="D2163" i="12"/>
  <c r="C2163" i="12"/>
  <c r="B2163" i="12"/>
  <c r="A2163" i="12"/>
  <c r="G2162" i="12"/>
  <c r="F2162" i="12"/>
  <c r="E2162" i="12"/>
  <c r="D2162" i="12"/>
  <c r="C2162" i="12"/>
  <c r="B2162" i="12"/>
  <c r="A2162" i="12"/>
  <c r="G2161" i="12"/>
  <c r="F2161" i="12"/>
  <c r="E2161" i="12"/>
  <c r="D2161" i="12"/>
  <c r="C2161" i="12"/>
  <c r="B2161" i="12"/>
  <c r="A2161" i="12"/>
  <c r="G2160" i="12"/>
  <c r="F2160" i="12"/>
  <c r="E2160" i="12"/>
  <c r="D2160" i="12"/>
  <c r="C2160" i="12"/>
  <c r="B2160" i="12"/>
  <c r="A2160" i="12"/>
  <c r="G2159" i="12"/>
  <c r="F2159" i="12"/>
  <c r="E2159" i="12"/>
  <c r="D2159" i="12"/>
  <c r="C2159" i="12"/>
  <c r="B2159" i="12"/>
  <c r="A2159" i="12"/>
  <c r="G2158" i="12"/>
  <c r="F2158" i="12"/>
  <c r="E2158" i="12"/>
  <c r="D2158" i="12"/>
  <c r="C2158" i="12"/>
  <c r="B2158" i="12"/>
  <c r="A2158" i="12"/>
  <c r="G2157" i="12"/>
  <c r="F2157" i="12"/>
  <c r="E2157" i="12"/>
  <c r="D2157" i="12"/>
  <c r="C2157" i="12"/>
  <c r="B2157" i="12"/>
  <c r="A2157" i="12"/>
  <c r="G2156" i="12"/>
  <c r="F2156" i="12"/>
  <c r="E2156" i="12"/>
  <c r="D2156" i="12"/>
  <c r="C2156" i="12"/>
  <c r="B2156" i="12"/>
  <c r="A2156" i="12"/>
  <c r="G2155" i="12"/>
  <c r="F2155" i="12"/>
  <c r="E2155" i="12"/>
  <c r="D2155" i="12"/>
  <c r="C2155" i="12"/>
  <c r="B2155" i="12"/>
  <c r="A2155" i="12"/>
  <c r="G2154" i="12"/>
  <c r="F2154" i="12"/>
  <c r="E2154" i="12"/>
  <c r="D2154" i="12"/>
  <c r="C2154" i="12"/>
  <c r="B2154" i="12"/>
  <c r="A2154" i="12"/>
  <c r="G2153" i="12"/>
  <c r="F2153" i="12"/>
  <c r="E2153" i="12"/>
  <c r="D2153" i="12"/>
  <c r="C2153" i="12"/>
  <c r="B2153" i="12"/>
  <c r="A2153" i="12"/>
  <c r="G2152" i="12"/>
  <c r="F2152" i="12"/>
  <c r="E2152" i="12"/>
  <c r="D2152" i="12"/>
  <c r="C2152" i="12"/>
  <c r="B2152" i="12"/>
  <c r="A2152" i="12"/>
  <c r="G2151" i="12"/>
  <c r="F2151" i="12"/>
  <c r="E2151" i="12"/>
  <c r="D2151" i="12"/>
  <c r="C2151" i="12"/>
  <c r="B2151" i="12"/>
  <c r="A2151" i="12"/>
  <c r="G2150" i="12"/>
  <c r="F2150" i="12"/>
  <c r="E2150" i="12"/>
  <c r="D2150" i="12"/>
  <c r="C2150" i="12"/>
  <c r="B2150" i="12"/>
  <c r="A2150" i="12"/>
  <c r="G2149" i="12"/>
  <c r="F2149" i="12"/>
  <c r="E2149" i="12"/>
  <c r="D2149" i="12"/>
  <c r="C2149" i="12"/>
  <c r="B2149" i="12"/>
  <c r="A2149" i="12"/>
  <c r="G2148" i="12"/>
  <c r="F2148" i="12"/>
  <c r="E2148" i="12"/>
  <c r="D2148" i="12"/>
  <c r="C2148" i="12"/>
  <c r="B2148" i="12"/>
  <c r="A2148" i="12"/>
  <c r="G2147" i="12"/>
  <c r="F2147" i="12"/>
  <c r="E2147" i="12"/>
  <c r="D2147" i="12"/>
  <c r="C2147" i="12"/>
  <c r="B2147" i="12"/>
  <c r="A2147" i="12"/>
  <c r="G2146" i="12"/>
  <c r="F2146" i="12"/>
  <c r="E2146" i="12"/>
  <c r="D2146" i="12"/>
  <c r="C2146" i="12"/>
  <c r="B2146" i="12"/>
  <c r="A2146" i="12"/>
  <c r="G2145" i="12"/>
  <c r="F2145" i="12"/>
  <c r="E2145" i="12"/>
  <c r="D2145" i="12"/>
  <c r="C2145" i="12"/>
  <c r="B2145" i="12"/>
  <c r="A2145" i="12"/>
  <c r="G2144" i="12"/>
  <c r="F2144" i="12"/>
  <c r="E2144" i="12"/>
  <c r="D2144" i="12"/>
  <c r="C2144" i="12"/>
  <c r="B2144" i="12"/>
  <c r="A2144" i="12"/>
  <c r="G2143" i="12"/>
  <c r="F2143" i="12"/>
  <c r="E2143" i="12"/>
  <c r="D2143" i="12"/>
  <c r="C2143" i="12"/>
  <c r="B2143" i="12"/>
  <c r="A2143" i="12"/>
  <c r="G2142" i="12"/>
  <c r="F2142" i="12"/>
  <c r="E2142" i="12"/>
  <c r="D2142" i="12"/>
  <c r="C2142" i="12"/>
  <c r="B2142" i="12"/>
  <c r="A2142" i="12"/>
  <c r="G2141" i="12"/>
  <c r="F2141" i="12"/>
  <c r="E2141" i="12"/>
  <c r="D2141" i="12"/>
  <c r="C2141" i="12"/>
  <c r="B2141" i="12"/>
  <c r="A2141" i="12"/>
  <c r="G2140" i="12"/>
  <c r="F2140" i="12"/>
  <c r="E2140" i="12"/>
  <c r="D2140" i="12"/>
  <c r="C2140" i="12"/>
  <c r="B2140" i="12"/>
  <c r="A2140" i="12"/>
  <c r="G2139" i="12"/>
  <c r="F2139" i="12"/>
  <c r="E2139" i="12"/>
  <c r="D2139" i="12"/>
  <c r="C2139" i="12"/>
  <c r="B2139" i="12"/>
  <c r="A2139" i="12"/>
  <c r="G2138" i="12"/>
  <c r="F2138" i="12"/>
  <c r="E2138" i="12"/>
  <c r="D2138" i="12"/>
  <c r="C2138" i="12"/>
  <c r="B2138" i="12"/>
  <c r="A2138" i="12"/>
  <c r="G2137" i="12"/>
  <c r="F2137" i="12"/>
  <c r="E2137" i="12"/>
  <c r="D2137" i="12"/>
  <c r="C2137" i="12"/>
  <c r="B2137" i="12"/>
  <c r="A2137" i="12"/>
  <c r="G2136" i="12"/>
  <c r="F2136" i="12"/>
  <c r="E2136" i="12"/>
  <c r="D2136" i="12"/>
  <c r="C2136" i="12"/>
  <c r="B2136" i="12"/>
  <c r="A2136" i="12"/>
  <c r="G2135" i="12"/>
  <c r="F2135" i="12"/>
  <c r="E2135" i="12"/>
  <c r="D2135" i="12"/>
  <c r="C2135" i="12"/>
  <c r="B2135" i="12"/>
  <c r="A2135" i="12"/>
  <c r="G2134" i="12"/>
  <c r="F2134" i="12"/>
  <c r="E2134" i="12"/>
  <c r="D2134" i="12"/>
  <c r="C2134" i="12"/>
  <c r="B2134" i="12"/>
  <c r="A2134" i="12"/>
  <c r="G2133" i="12"/>
  <c r="F2133" i="12"/>
  <c r="E2133" i="12"/>
  <c r="D2133" i="12"/>
  <c r="C2133" i="12"/>
  <c r="B2133" i="12"/>
  <c r="A2133" i="12"/>
  <c r="G2132" i="12"/>
  <c r="F2132" i="12"/>
  <c r="E2132" i="12"/>
  <c r="D2132" i="12"/>
  <c r="C2132" i="12"/>
  <c r="B2132" i="12"/>
  <c r="A2132" i="12"/>
  <c r="G2131" i="12"/>
  <c r="F2131" i="12"/>
  <c r="E2131" i="12"/>
  <c r="D2131" i="12"/>
  <c r="C2131" i="12"/>
  <c r="B2131" i="12"/>
  <c r="A2131" i="12"/>
  <c r="G2130" i="12"/>
  <c r="F2130" i="12"/>
  <c r="E2130" i="12"/>
  <c r="D2130" i="12"/>
  <c r="C2130" i="12"/>
  <c r="B2130" i="12"/>
  <c r="A2130" i="12"/>
  <c r="G2129" i="12"/>
  <c r="F2129" i="12"/>
  <c r="E2129" i="12"/>
  <c r="D2129" i="12"/>
  <c r="C2129" i="12"/>
  <c r="B2129" i="12"/>
  <c r="A2129" i="12"/>
  <c r="G2128" i="12"/>
  <c r="F2128" i="12"/>
  <c r="E2128" i="12"/>
  <c r="D2128" i="12"/>
  <c r="C2128" i="12"/>
  <c r="B2128" i="12"/>
  <c r="A2128" i="12"/>
  <c r="G2127" i="12"/>
  <c r="F2127" i="12"/>
  <c r="E2127" i="12"/>
  <c r="D2127" i="12"/>
  <c r="C2127" i="12"/>
  <c r="B2127" i="12"/>
  <c r="A2127" i="12"/>
  <c r="G2126" i="12"/>
  <c r="F2126" i="12"/>
  <c r="E2126" i="12"/>
  <c r="D2126" i="12"/>
  <c r="C2126" i="12"/>
  <c r="B2126" i="12"/>
  <c r="A2126" i="12"/>
  <c r="G2125" i="12"/>
  <c r="F2125" i="12"/>
  <c r="E2125" i="12"/>
  <c r="D2125" i="12"/>
  <c r="C2125" i="12"/>
  <c r="B2125" i="12"/>
  <c r="A2125" i="12"/>
  <c r="G2124" i="12"/>
  <c r="F2124" i="12"/>
  <c r="E2124" i="12"/>
  <c r="D2124" i="12"/>
  <c r="C2124" i="12"/>
  <c r="B2124" i="12"/>
  <c r="A2124" i="12"/>
  <c r="G2123" i="12"/>
  <c r="F2123" i="12"/>
  <c r="E2123" i="12"/>
  <c r="D2123" i="12"/>
  <c r="C2123" i="12"/>
  <c r="B2123" i="12"/>
  <c r="A2123" i="12"/>
  <c r="G2122" i="12"/>
  <c r="F2122" i="12"/>
  <c r="E2122" i="12"/>
  <c r="D2122" i="12"/>
  <c r="C2122" i="12"/>
  <c r="B2122" i="12"/>
  <c r="A2122" i="12"/>
  <c r="G2121" i="12"/>
  <c r="F2121" i="12"/>
  <c r="E2121" i="12"/>
  <c r="D2121" i="12"/>
  <c r="C2121" i="12"/>
  <c r="B2121" i="12"/>
  <c r="A2121" i="12"/>
  <c r="G2120" i="12"/>
  <c r="F2120" i="12"/>
  <c r="E2120" i="12"/>
  <c r="D2120" i="12"/>
  <c r="C2120" i="12"/>
  <c r="B2120" i="12"/>
  <c r="A2120" i="12"/>
  <c r="G2119" i="12"/>
  <c r="F2119" i="12"/>
  <c r="E2119" i="12"/>
  <c r="D2119" i="12"/>
  <c r="C2119" i="12"/>
  <c r="B2119" i="12"/>
  <c r="A2119" i="12"/>
  <c r="G2118" i="12"/>
  <c r="F2118" i="12"/>
  <c r="E2118" i="12"/>
  <c r="D2118" i="12"/>
  <c r="C2118" i="12"/>
  <c r="B2118" i="12"/>
  <c r="A2118" i="12"/>
  <c r="G2117" i="12"/>
  <c r="F2117" i="12"/>
  <c r="E2117" i="12"/>
  <c r="D2117" i="12"/>
  <c r="C2117" i="12"/>
  <c r="B2117" i="12"/>
  <c r="A2117" i="12"/>
  <c r="G2116" i="12"/>
  <c r="F2116" i="12"/>
  <c r="E2116" i="12"/>
  <c r="D2116" i="12"/>
  <c r="C2116" i="12"/>
  <c r="B2116" i="12"/>
  <c r="A2116" i="12"/>
  <c r="G2115" i="12"/>
  <c r="F2115" i="12"/>
  <c r="E2115" i="12"/>
  <c r="D2115" i="12"/>
  <c r="C2115" i="12"/>
  <c r="B2115" i="12"/>
  <c r="A2115" i="12"/>
  <c r="G2114" i="12"/>
  <c r="F2114" i="12"/>
  <c r="E2114" i="12"/>
  <c r="D2114" i="12"/>
  <c r="C2114" i="12"/>
  <c r="B2114" i="12"/>
  <c r="A2114" i="12"/>
  <c r="G2113" i="12"/>
  <c r="F2113" i="12"/>
  <c r="E2113" i="12"/>
  <c r="D2113" i="12"/>
  <c r="C2113" i="12"/>
  <c r="B2113" i="12"/>
  <c r="A2113" i="12"/>
  <c r="G2112" i="12"/>
  <c r="F2112" i="12"/>
  <c r="E2112" i="12"/>
  <c r="D2112" i="12"/>
  <c r="C2112" i="12"/>
  <c r="B2112" i="12"/>
  <c r="A2112" i="12"/>
  <c r="G2111" i="12"/>
  <c r="F2111" i="12"/>
  <c r="E2111" i="12"/>
  <c r="D2111" i="12"/>
  <c r="C2111" i="12"/>
  <c r="B2111" i="12"/>
  <c r="A2111" i="12"/>
  <c r="G2110" i="12"/>
  <c r="F2110" i="12"/>
  <c r="E2110" i="12"/>
  <c r="D2110" i="12"/>
  <c r="C2110" i="12"/>
  <c r="B2110" i="12"/>
  <c r="A2110" i="12"/>
  <c r="G2109" i="12"/>
  <c r="F2109" i="12"/>
  <c r="E2109" i="12"/>
  <c r="D2109" i="12"/>
  <c r="C2109" i="12"/>
  <c r="B2109" i="12"/>
  <c r="A2109" i="12"/>
  <c r="G2108" i="12"/>
  <c r="F2108" i="12"/>
  <c r="E2108" i="12"/>
  <c r="D2108" i="12"/>
  <c r="C2108" i="12"/>
  <c r="B2108" i="12"/>
  <c r="A2108" i="12"/>
  <c r="G2107" i="12"/>
  <c r="F2107" i="12"/>
  <c r="E2107" i="12"/>
  <c r="D2107" i="12"/>
  <c r="C2107" i="12"/>
  <c r="B2107" i="12"/>
  <c r="A2107" i="12"/>
  <c r="G2106" i="12"/>
  <c r="F2106" i="12"/>
  <c r="E2106" i="12"/>
  <c r="D2106" i="12"/>
  <c r="C2106" i="12"/>
  <c r="B2106" i="12"/>
  <c r="A2106" i="12"/>
  <c r="G2105" i="12"/>
  <c r="F2105" i="12"/>
  <c r="E2105" i="12"/>
  <c r="D2105" i="12"/>
  <c r="C2105" i="12"/>
  <c r="B2105" i="12"/>
  <c r="A2105" i="12"/>
  <c r="G2104" i="12"/>
  <c r="F2104" i="12"/>
  <c r="E2104" i="12"/>
  <c r="D2104" i="12"/>
  <c r="C2104" i="12"/>
  <c r="B2104" i="12"/>
  <c r="A2104" i="12"/>
  <c r="G2103" i="12"/>
  <c r="F2103" i="12"/>
  <c r="E2103" i="12"/>
  <c r="D2103" i="12"/>
  <c r="C2103" i="12"/>
  <c r="B2103" i="12"/>
  <c r="A2103" i="12"/>
  <c r="G2102" i="12"/>
  <c r="F2102" i="12"/>
  <c r="E2102" i="12"/>
  <c r="D2102" i="12"/>
  <c r="C2102" i="12"/>
  <c r="B2102" i="12"/>
  <c r="A2102" i="12"/>
  <c r="G2101" i="12"/>
  <c r="F2101" i="12"/>
  <c r="E2101" i="12"/>
  <c r="D2101" i="12"/>
  <c r="C2101" i="12"/>
  <c r="B2101" i="12"/>
  <c r="A2101" i="12"/>
  <c r="G2100" i="12"/>
  <c r="F2100" i="12"/>
  <c r="E2100" i="12"/>
  <c r="D2100" i="12"/>
  <c r="C2100" i="12"/>
  <c r="B2100" i="12"/>
  <c r="A2100" i="12"/>
  <c r="G2099" i="12"/>
  <c r="F2099" i="12"/>
  <c r="E2099" i="12"/>
  <c r="D2099" i="12"/>
  <c r="C2099" i="12"/>
  <c r="B2099" i="12"/>
  <c r="A2099" i="12"/>
  <c r="G2098" i="12"/>
  <c r="F2098" i="12"/>
  <c r="E2098" i="12"/>
  <c r="D2098" i="12"/>
  <c r="C2098" i="12"/>
  <c r="B2098" i="12"/>
  <c r="A2098" i="12"/>
  <c r="G2097" i="12"/>
  <c r="F2097" i="12"/>
  <c r="E2097" i="12"/>
  <c r="D2097" i="12"/>
  <c r="C2097" i="12"/>
  <c r="B2097" i="12"/>
  <c r="A2097" i="12"/>
  <c r="G2096" i="12"/>
  <c r="F2096" i="12"/>
  <c r="E2096" i="12"/>
  <c r="D2096" i="12"/>
  <c r="C2096" i="12"/>
  <c r="B2096" i="12"/>
  <c r="A2096" i="12"/>
  <c r="G2095" i="12"/>
  <c r="F2095" i="12"/>
  <c r="E2095" i="12"/>
  <c r="D2095" i="12"/>
  <c r="C2095" i="12"/>
  <c r="B2095" i="12"/>
  <c r="A2095" i="12"/>
  <c r="G2094" i="12"/>
  <c r="F2094" i="12"/>
  <c r="E2094" i="12"/>
  <c r="D2094" i="12"/>
  <c r="C2094" i="12"/>
  <c r="B2094" i="12"/>
  <c r="A2094" i="12"/>
  <c r="G2093" i="12"/>
  <c r="F2093" i="12"/>
  <c r="E2093" i="12"/>
  <c r="D2093" i="12"/>
  <c r="C2093" i="12"/>
  <c r="B2093" i="12"/>
  <c r="A2093" i="12"/>
  <c r="G2092" i="12"/>
  <c r="F2092" i="12"/>
  <c r="E2092" i="12"/>
  <c r="D2092" i="12"/>
  <c r="C2092" i="12"/>
  <c r="B2092" i="12"/>
  <c r="A2092" i="12"/>
  <c r="G2091" i="12"/>
  <c r="F2091" i="12"/>
  <c r="E2091" i="12"/>
  <c r="D2091" i="12"/>
  <c r="C2091" i="12"/>
  <c r="B2091" i="12"/>
  <c r="A2091" i="12"/>
  <c r="G2090" i="12"/>
  <c r="F2090" i="12"/>
  <c r="E2090" i="12"/>
  <c r="D2090" i="12"/>
  <c r="C2090" i="12"/>
  <c r="B2090" i="12"/>
  <c r="A2090" i="12"/>
  <c r="G2089" i="12"/>
  <c r="F2089" i="12"/>
  <c r="E2089" i="12"/>
  <c r="D2089" i="12"/>
  <c r="C2089" i="12"/>
  <c r="B2089" i="12"/>
  <c r="A2089" i="12"/>
  <c r="G2088" i="12"/>
  <c r="F2088" i="12"/>
  <c r="E2088" i="12"/>
  <c r="D2088" i="12"/>
  <c r="C2088" i="12"/>
  <c r="B2088" i="12"/>
  <c r="A2088" i="12"/>
  <c r="G2087" i="12"/>
  <c r="F2087" i="12"/>
  <c r="E2087" i="12"/>
  <c r="D2087" i="12"/>
  <c r="C2087" i="12"/>
  <c r="B2087" i="12"/>
  <c r="A2087" i="12"/>
  <c r="G2086" i="12"/>
  <c r="F2086" i="12"/>
  <c r="E2086" i="12"/>
  <c r="D2086" i="12"/>
  <c r="C2086" i="12"/>
  <c r="B2086" i="12"/>
  <c r="A2086" i="12"/>
  <c r="G2085" i="12"/>
  <c r="F2085" i="12"/>
  <c r="E2085" i="12"/>
  <c r="D2085" i="12"/>
  <c r="C2085" i="12"/>
  <c r="B2085" i="12"/>
  <c r="A2085" i="12"/>
  <c r="G2084" i="12"/>
  <c r="F2084" i="12"/>
  <c r="E2084" i="12"/>
  <c r="D2084" i="12"/>
  <c r="C2084" i="12"/>
  <c r="B2084" i="12"/>
  <c r="A2084" i="12"/>
  <c r="G2083" i="12"/>
  <c r="F2083" i="12"/>
  <c r="E2083" i="12"/>
  <c r="D2083" i="12"/>
  <c r="C2083" i="12"/>
  <c r="B2083" i="12"/>
  <c r="A2083" i="12"/>
  <c r="G2082" i="12"/>
  <c r="F2082" i="12"/>
  <c r="E2082" i="12"/>
  <c r="D2082" i="12"/>
  <c r="C2082" i="12"/>
  <c r="B2082" i="12"/>
  <c r="A2082" i="12"/>
  <c r="G2081" i="12"/>
  <c r="F2081" i="12"/>
  <c r="E2081" i="12"/>
  <c r="D2081" i="12"/>
  <c r="C2081" i="12"/>
  <c r="B2081" i="12"/>
  <c r="A2081" i="12"/>
  <c r="G2080" i="12"/>
  <c r="F2080" i="12"/>
  <c r="E2080" i="12"/>
  <c r="D2080" i="12"/>
  <c r="C2080" i="12"/>
  <c r="B2080" i="12"/>
  <c r="A2080" i="12"/>
  <c r="G2079" i="12"/>
  <c r="F2079" i="12"/>
  <c r="E2079" i="12"/>
  <c r="D2079" i="12"/>
  <c r="C2079" i="12"/>
  <c r="B2079" i="12"/>
  <c r="A2079" i="12"/>
  <c r="G2078" i="12"/>
  <c r="F2078" i="12"/>
  <c r="E2078" i="12"/>
  <c r="D2078" i="12"/>
  <c r="C2078" i="12"/>
  <c r="B2078" i="12"/>
  <c r="A2078" i="12"/>
  <c r="G2077" i="12"/>
  <c r="F2077" i="12"/>
  <c r="E2077" i="12"/>
  <c r="D2077" i="12"/>
  <c r="C2077" i="12"/>
  <c r="B2077" i="12"/>
  <c r="A2077" i="12"/>
  <c r="G2076" i="12"/>
  <c r="F2076" i="12"/>
  <c r="E2076" i="12"/>
  <c r="D2076" i="12"/>
  <c r="C2076" i="12"/>
  <c r="B2076" i="12"/>
  <c r="A2076" i="12"/>
  <c r="G2075" i="12"/>
  <c r="F2075" i="12"/>
  <c r="E2075" i="12"/>
  <c r="D2075" i="12"/>
  <c r="C2075" i="12"/>
  <c r="B2075" i="12"/>
  <c r="A2075" i="12"/>
  <c r="G2074" i="12"/>
  <c r="F2074" i="12"/>
  <c r="E2074" i="12"/>
  <c r="D2074" i="12"/>
  <c r="C2074" i="12"/>
  <c r="B2074" i="12"/>
  <c r="A2074" i="12"/>
  <c r="G2073" i="12"/>
  <c r="F2073" i="12"/>
  <c r="E2073" i="12"/>
  <c r="D2073" i="12"/>
  <c r="C2073" i="12"/>
  <c r="B2073" i="12"/>
  <c r="A2073" i="12"/>
  <c r="G2072" i="12"/>
  <c r="F2072" i="12"/>
  <c r="E2072" i="12"/>
  <c r="D2072" i="12"/>
  <c r="C2072" i="12"/>
  <c r="B2072" i="12"/>
  <c r="A2072" i="12"/>
  <c r="G2071" i="12"/>
  <c r="F2071" i="12"/>
  <c r="E2071" i="12"/>
  <c r="D2071" i="12"/>
  <c r="C2071" i="12"/>
  <c r="B2071" i="12"/>
  <c r="A2071" i="12"/>
  <c r="G2070" i="12"/>
  <c r="F2070" i="12"/>
  <c r="E2070" i="12"/>
  <c r="D2070" i="12"/>
  <c r="C2070" i="12"/>
  <c r="B2070" i="12"/>
  <c r="A2070" i="12"/>
  <c r="G2069" i="12"/>
  <c r="F2069" i="12"/>
  <c r="E2069" i="12"/>
  <c r="D2069" i="12"/>
  <c r="C2069" i="12"/>
  <c r="B2069" i="12"/>
  <c r="A2069" i="12"/>
  <c r="G2068" i="12"/>
  <c r="F2068" i="12"/>
  <c r="E2068" i="12"/>
  <c r="D2068" i="12"/>
  <c r="C2068" i="12"/>
  <c r="B2068" i="12"/>
  <c r="A2068" i="12"/>
  <c r="G2067" i="12"/>
  <c r="F2067" i="12"/>
  <c r="E2067" i="12"/>
  <c r="D2067" i="12"/>
  <c r="C2067" i="12"/>
  <c r="B2067" i="12"/>
  <c r="A2067" i="12"/>
  <c r="G2066" i="12"/>
  <c r="F2066" i="12"/>
  <c r="E2066" i="12"/>
  <c r="D2066" i="12"/>
  <c r="C2066" i="12"/>
  <c r="B2066" i="12"/>
  <c r="A2066" i="12"/>
  <c r="G2065" i="12"/>
  <c r="F2065" i="12"/>
  <c r="E2065" i="12"/>
  <c r="D2065" i="12"/>
  <c r="C2065" i="12"/>
  <c r="B2065" i="12"/>
  <c r="A2065" i="12"/>
  <c r="G2064" i="12"/>
  <c r="F2064" i="12"/>
  <c r="E2064" i="12"/>
  <c r="D2064" i="12"/>
  <c r="C2064" i="12"/>
  <c r="B2064" i="12"/>
  <c r="A2064" i="12"/>
  <c r="G2063" i="12"/>
  <c r="F2063" i="12"/>
  <c r="E2063" i="12"/>
  <c r="D2063" i="12"/>
  <c r="C2063" i="12"/>
  <c r="B2063" i="12"/>
  <c r="A2063" i="12"/>
  <c r="G2062" i="12"/>
  <c r="F2062" i="12"/>
  <c r="E2062" i="12"/>
  <c r="D2062" i="12"/>
  <c r="C2062" i="12"/>
  <c r="B2062" i="12"/>
  <c r="A2062" i="12"/>
  <c r="G2061" i="12"/>
  <c r="F2061" i="12"/>
  <c r="E2061" i="12"/>
  <c r="D2061" i="12"/>
  <c r="C2061" i="12"/>
  <c r="B2061" i="12"/>
  <c r="A2061" i="12"/>
  <c r="G2060" i="12"/>
  <c r="F2060" i="12"/>
  <c r="E2060" i="12"/>
  <c r="D2060" i="12"/>
  <c r="C2060" i="12"/>
  <c r="B2060" i="12"/>
  <c r="A2060" i="12"/>
  <c r="G2059" i="12"/>
  <c r="F2059" i="12"/>
  <c r="E2059" i="12"/>
  <c r="D2059" i="12"/>
  <c r="C2059" i="12"/>
  <c r="B2059" i="12"/>
  <c r="A2059" i="12"/>
  <c r="G2058" i="12"/>
  <c r="F2058" i="12"/>
  <c r="E2058" i="12"/>
  <c r="D2058" i="12"/>
  <c r="C2058" i="12"/>
  <c r="B2058" i="12"/>
  <c r="A2058" i="12"/>
  <c r="G2057" i="12"/>
  <c r="F2057" i="12"/>
  <c r="E2057" i="12"/>
  <c r="D2057" i="12"/>
  <c r="C2057" i="12"/>
  <c r="B2057" i="12"/>
  <c r="A2057" i="12"/>
  <c r="G2056" i="12"/>
  <c r="F2056" i="12"/>
  <c r="E2056" i="12"/>
  <c r="D2056" i="12"/>
  <c r="C2056" i="12"/>
  <c r="B2056" i="12"/>
  <c r="A2056" i="12"/>
  <c r="G2055" i="12"/>
  <c r="F2055" i="12"/>
  <c r="E2055" i="12"/>
  <c r="D2055" i="12"/>
  <c r="C2055" i="12"/>
  <c r="B2055" i="12"/>
  <c r="A2055" i="12"/>
  <c r="G2054" i="12"/>
  <c r="F2054" i="12"/>
  <c r="E2054" i="12"/>
  <c r="D2054" i="12"/>
  <c r="C2054" i="12"/>
  <c r="B2054" i="12"/>
  <c r="A2054" i="12"/>
  <c r="G2053" i="12"/>
  <c r="F2053" i="12"/>
  <c r="E2053" i="12"/>
  <c r="D2053" i="12"/>
  <c r="C2053" i="12"/>
  <c r="B2053" i="12"/>
  <c r="A2053" i="12"/>
  <c r="G2052" i="12"/>
  <c r="F2052" i="12"/>
  <c r="E2052" i="12"/>
  <c r="D2052" i="12"/>
  <c r="C2052" i="12"/>
  <c r="B2052" i="12"/>
  <c r="A2052" i="12"/>
  <c r="G2051" i="12"/>
  <c r="F2051" i="12"/>
  <c r="E2051" i="12"/>
  <c r="D2051" i="12"/>
  <c r="C2051" i="12"/>
  <c r="B2051" i="12"/>
  <c r="A2051" i="12"/>
  <c r="G2050" i="12"/>
  <c r="F2050" i="12"/>
  <c r="E2050" i="12"/>
  <c r="D2050" i="12"/>
  <c r="C2050" i="12"/>
  <c r="B2050" i="12"/>
  <c r="A2050" i="12"/>
  <c r="G2049" i="12"/>
  <c r="F2049" i="12"/>
  <c r="E2049" i="12"/>
  <c r="D2049" i="12"/>
  <c r="C2049" i="12"/>
  <c r="B2049" i="12"/>
  <c r="A2049" i="12"/>
  <c r="G2048" i="12"/>
  <c r="F2048" i="12"/>
  <c r="E2048" i="12"/>
  <c r="D2048" i="12"/>
  <c r="C2048" i="12"/>
  <c r="B2048" i="12"/>
  <c r="A2048" i="12"/>
  <c r="G2047" i="12"/>
  <c r="F2047" i="12"/>
  <c r="E2047" i="12"/>
  <c r="D2047" i="12"/>
  <c r="C2047" i="12"/>
  <c r="B2047" i="12"/>
  <c r="A2047" i="12"/>
  <c r="G2046" i="12"/>
  <c r="F2046" i="12"/>
  <c r="E2046" i="12"/>
  <c r="D2046" i="12"/>
  <c r="C2046" i="12"/>
  <c r="B2046" i="12"/>
  <c r="A2046" i="12"/>
  <c r="G2045" i="12"/>
  <c r="F2045" i="12"/>
  <c r="E2045" i="12"/>
  <c r="D2045" i="12"/>
  <c r="C2045" i="12"/>
  <c r="B2045" i="12"/>
  <c r="A2045" i="12"/>
  <c r="G2044" i="12"/>
  <c r="F2044" i="12"/>
  <c r="E2044" i="12"/>
  <c r="D2044" i="12"/>
  <c r="C2044" i="12"/>
  <c r="B2044" i="12"/>
  <c r="A2044" i="12"/>
  <c r="G2043" i="12"/>
  <c r="F2043" i="12"/>
  <c r="E2043" i="12"/>
  <c r="D2043" i="12"/>
  <c r="C2043" i="12"/>
  <c r="B2043" i="12"/>
  <c r="A2043" i="12"/>
  <c r="G2042" i="12"/>
  <c r="F2042" i="12"/>
  <c r="E2042" i="12"/>
  <c r="D2042" i="12"/>
  <c r="C2042" i="12"/>
  <c r="B2042" i="12"/>
  <c r="A2042" i="12"/>
  <c r="G2041" i="12"/>
  <c r="F2041" i="12"/>
  <c r="E2041" i="12"/>
  <c r="D2041" i="12"/>
  <c r="C2041" i="12"/>
  <c r="B2041" i="12"/>
  <c r="A2041" i="12"/>
  <c r="G2040" i="12"/>
  <c r="F2040" i="12"/>
  <c r="E2040" i="12"/>
  <c r="D2040" i="12"/>
  <c r="C2040" i="12"/>
  <c r="B2040" i="12"/>
  <c r="A2040" i="12"/>
  <c r="G2039" i="12"/>
  <c r="F2039" i="12"/>
  <c r="E2039" i="12"/>
  <c r="D2039" i="12"/>
  <c r="C2039" i="12"/>
  <c r="B2039" i="12"/>
  <c r="A2039" i="12"/>
  <c r="G2038" i="12"/>
  <c r="F2038" i="12"/>
  <c r="E2038" i="12"/>
  <c r="D2038" i="12"/>
  <c r="C2038" i="12"/>
  <c r="B2038" i="12"/>
  <c r="A2038" i="12"/>
  <c r="G2037" i="12"/>
  <c r="F2037" i="12"/>
  <c r="E2037" i="12"/>
  <c r="D2037" i="12"/>
  <c r="C2037" i="12"/>
  <c r="B2037" i="12"/>
  <c r="A2037" i="12"/>
  <c r="G2036" i="12"/>
  <c r="F2036" i="12"/>
  <c r="E2036" i="12"/>
  <c r="D2036" i="12"/>
  <c r="C2036" i="12"/>
  <c r="B2036" i="12"/>
  <c r="A2036" i="12"/>
  <c r="G2035" i="12"/>
  <c r="F2035" i="12"/>
  <c r="E2035" i="12"/>
  <c r="D2035" i="12"/>
  <c r="C2035" i="12"/>
  <c r="B2035" i="12"/>
  <c r="A2035" i="12"/>
  <c r="G2034" i="12"/>
  <c r="F2034" i="12"/>
  <c r="E2034" i="12"/>
  <c r="D2034" i="12"/>
  <c r="C2034" i="12"/>
  <c r="B2034" i="12"/>
  <c r="A2034" i="12"/>
  <c r="G2033" i="12"/>
  <c r="F2033" i="12"/>
  <c r="E2033" i="12"/>
  <c r="D2033" i="12"/>
  <c r="C2033" i="12"/>
  <c r="B2033" i="12"/>
  <c r="A2033" i="12"/>
  <c r="G2032" i="12"/>
  <c r="F2032" i="12"/>
  <c r="E2032" i="12"/>
  <c r="D2032" i="12"/>
  <c r="C2032" i="12"/>
  <c r="B2032" i="12"/>
  <c r="A2032" i="12"/>
  <c r="G2031" i="12"/>
  <c r="F2031" i="12"/>
  <c r="E2031" i="12"/>
  <c r="D2031" i="12"/>
  <c r="C2031" i="12"/>
  <c r="B2031" i="12"/>
  <c r="A2031" i="12"/>
  <c r="G2030" i="12"/>
  <c r="F2030" i="12"/>
  <c r="E2030" i="12"/>
  <c r="D2030" i="12"/>
  <c r="C2030" i="12"/>
  <c r="B2030" i="12"/>
  <c r="A2030" i="12"/>
  <c r="G2029" i="12"/>
  <c r="F2029" i="12"/>
  <c r="E2029" i="12"/>
  <c r="D2029" i="12"/>
  <c r="C2029" i="12"/>
  <c r="B2029" i="12"/>
  <c r="A2029" i="12"/>
  <c r="G2028" i="12"/>
  <c r="F2028" i="12"/>
  <c r="E2028" i="12"/>
  <c r="D2028" i="12"/>
  <c r="C2028" i="12"/>
  <c r="B2028" i="12"/>
  <c r="A2028" i="12"/>
  <c r="G2027" i="12"/>
  <c r="F2027" i="12"/>
  <c r="E2027" i="12"/>
  <c r="D2027" i="12"/>
  <c r="C2027" i="12"/>
  <c r="B2027" i="12"/>
  <c r="A2027" i="12"/>
  <c r="G2026" i="12"/>
  <c r="F2026" i="12"/>
  <c r="E2026" i="12"/>
  <c r="D2026" i="12"/>
  <c r="C2026" i="12"/>
  <c r="B2026" i="12"/>
  <c r="A2026" i="12"/>
  <c r="G2025" i="12"/>
  <c r="F2025" i="12"/>
  <c r="E2025" i="12"/>
  <c r="D2025" i="12"/>
  <c r="C2025" i="12"/>
  <c r="B2025" i="12"/>
  <c r="A2025" i="12"/>
  <c r="G2024" i="12"/>
  <c r="F2024" i="12"/>
  <c r="E2024" i="12"/>
  <c r="D2024" i="12"/>
  <c r="C2024" i="12"/>
  <c r="B2024" i="12"/>
  <c r="A2024" i="12"/>
  <c r="G2023" i="12"/>
  <c r="F2023" i="12"/>
  <c r="E2023" i="12"/>
  <c r="D2023" i="12"/>
  <c r="C2023" i="12"/>
  <c r="B2023" i="12"/>
  <c r="A2023" i="12"/>
  <c r="G2022" i="12"/>
  <c r="F2022" i="12"/>
  <c r="E2022" i="12"/>
  <c r="D2022" i="12"/>
  <c r="C2022" i="12"/>
  <c r="B2022" i="12"/>
  <c r="A2022" i="12"/>
  <c r="G2021" i="12"/>
  <c r="F2021" i="12"/>
  <c r="E2021" i="12"/>
  <c r="D2021" i="12"/>
  <c r="C2021" i="12"/>
  <c r="B2021" i="12"/>
  <c r="A2021" i="12"/>
  <c r="G2020" i="12"/>
  <c r="F2020" i="12"/>
  <c r="E2020" i="12"/>
  <c r="D2020" i="12"/>
  <c r="C2020" i="12"/>
  <c r="B2020" i="12"/>
  <c r="A2020" i="12"/>
  <c r="G2019" i="12"/>
  <c r="F2019" i="12"/>
  <c r="E2019" i="12"/>
  <c r="D2019" i="12"/>
  <c r="C2019" i="12"/>
  <c r="B2019" i="12"/>
  <c r="A2019" i="12"/>
  <c r="G2018" i="12"/>
  <c r="F2018" i="12"/>
  <c r="E2018" i="12"/>
  <c r="D2018" i="12"/>
  <c r="C2018" i="12"/>
  <c r="B2018" i="12"/>
  <c r="A2018" i="12"/>
  <c r="G2017" i="12"/>
  <c r="F2017" i="12"/>
  <c r="E2017" i="12"/>
  <c r="D2017" i="12"/>
  <c r="C2017" i="12"/>
  <c r="B2017" i="12"/>
  <c r="A2017" i="12"/>
  <c r="G2016" i="12"/>
  <c r="F2016" i="12"/>
  <c r="E2016" i="12"/>
  <c r="D2016" i="12"/>
  <c r="C2016" i="12"/>
  <c r="B2016" i="12"/>
  <c r="A2016" i="12"/>
  <c r="G2015" i="12"/>
  <c r="F2015" i="12"/>
  <c r="E2015" i="12"/>
  <c r="D2015" i="12"/>
  <c r="C2015" i="12"/>
  <c r="B2015" i="12"/>
  <c r="A2015" i="12"/>
  <c r="G2014" i="12"/>
  <c r="F2014" i="12"/>
  <c r="E2014" i="12"/>
  <c r="D2014" i="12"/>
  <c r="C2014" i="12"/>
  <c r="B2014" i="12"/>
  <c r="A2014" i="12"/>
  <c r="G2013" i="12"/>
  <c r="F2013" i="12"/>
  <c r="E2013" i="12"/>
  <c r="D2013" i="12"/>
  <c r="C2013" i="12"/>
  <c r="B2013" i="12"/>
  <c r="A2013" i="12"/>
  <c r="G2012" i="12"/>
  <c r="F2012" i="12"/>
  <c r="E2012" i="12"/>
  <c r="D2012" i="12"/>
  <c r="C2012" i="12"/>
  <c r="B2012" i="12"/>
  <c r="A2012" i="12"/>
  <c r="G2011" i="12"/>
  <c r="F2011" i="12"/>
  <c r="E2011" i="12"/>
  <c r="D2011" i="12"/>
  <c r="C2011" i="12"/>
  <c r="B2011" i="12"/>
  <c r="A2011" i="12"/>
  <c r="G2010" i="12"/>
  <c r="F2010" i="12"/>
  <c r="E2010" i="12"/>
  <c r="D2010" i="12"/>
  <c r="C2010" i="12"/>
  <c r="B2010" i="12"/>
  <c r="A2010" i="12"/>
  <c r="G2009" i="12"/>
  <c r="F2009" i="12"/>
  <c r="E2009" i="12"/>
  <c r="D2009" i="12"/>
  <c r="C2009" i="12"/>
  <c r="B2009" i="12"/>
  <c r="A2009" i="12"/>
  <c r="G2008" i="12"/>
  <c r="F2008" i="12"/>
  <c r="E2008" i="12"/>
  <c r="D2008" i="12"/>
  <c r="C2008" i="12"/>
  <c r="B2008" i="12"/>
  <c r="A2008" i="12"/>
  <c r="G2007" i="12"/>
  <c r="F2007" i="12"/>
  <c r="E2007" i="12"/>
  <c r="D2007" i="12"/>
  <c r="C2007" i="12"/>
  <c r="B2007" i="12"/>
  <c r="A2007" i="12"/>
  <c r="G2006" i="12"/>
  <c r="F2006" i="12"/>
  <c r="E2006" i="12"/>
  <c r="D2006" i="12"/>
  <c r="C2006" i="12"/>
  <c r="B2006" i="12"/>
  <c r="A2006" i="12"/>
  <c r="G2005" i="12"/>
  <c r="F2005" i="12"/>
  <c r="E2005" i="12"/>
  <c r="D2005" i="12"/>
  <c r="C2005" i="12"/>
  <c r="B2005" i="12"/>
  <c r="A2005" i="12"/>
  <c r="G2004" i="12"/>
  <c r="F2004" i="12"/>
  <c r="E2004" i="12"/>
  <c r="D2004" i="12"/>
  <c r="C2004" i="12"/>
  <c r="B2004" i="12"/>
  <c r="A2004" i="12"/>
  <c r="G2003" i="12"/>
  <c r="F2003" i="12"/>
  <c r="E2003" i="12"/>
  <c r="D2003" i="12"/>
  <c r="C2003" i="12"/>
  <c r="B2003" i="12"/>
  <c r="A2003" i="12"/>
  <c r="G2002" i="12"/>
  <c r="F2002" i="12"/>
  <c r="E2002" i="12"/>
  <c r="D2002" i="12"/>
  <c r="C2002" i="12"/>
  <c r="B2002" i="12"/>
  <c r="A2002" i="12"/>
  <c r="G2001" i="12"/>
  <c r="F2001" i="12"/>
  <c r="E2001" i="12"/>
  <c r="D2001" i="12"/>
  <c r="C2001" i="12"/>
  <c r="B2001" i="12"/>
  <c r="A2001" i="12"/>
  <c r="G2000" i="12"/>
  <c r="F2000" i="12"/>
  <c r="E2000" i="12"/>
  <c r="D2000" i="12"/>
  <c r="C2000" i="12"/>
  <c r="B2000" i="12"/>
  <c r="A2000" i="12"/>
  <c r="G1999" i="12"/>
  <c r="F1999" i="12"/>
  <c r="E1999" i="12"/>
  <c r="D1999" i="12"/>
  <c r="C1999" i="12"/>
  <c r="B1999" i="12"/>
  <c r="A1999" i="12"/>
  <c r="G1998" i="12"/>
  <c r="F1998" i="12"/>
  <c r="E1998" i="12"/>
  <c r="D1998" i="12"/>
  <c r="C1998" i="12"/>
  <c r="B1998" i="12"/>
  <c r="A1998" i="12"/>
  <c r="G1997" i="12"/>
  <c r="F1997" i="12"/>
  <c r="E1997" i="12"/>
  <c r="D1997" i="12"/>
  <c r="C1997" i="12"/>
  <c r="B1997" i="12"/>
  <c r="A1997" i="12"/>
  <c r="G1996" i="12"/>
  <c r="F1996" i="12"/>
  <c r="E1996" i="12"/>
  <c r="D1996" i="12"/>
  <c r="C1996" i="12"/>
  <c r="B1996" i="12"/>
  <c r="A1996" i="12"/>
  <c r="G1995" i="12"/>
  <c r="F1995" i="12"/>
  <c r="E1995" i="12"/>
  <c r="D1995" i="12"/>
  <c r="C1995" i="12"/>
  <c r="B1995" i="12"/>
  <c r="A1995" i="12"/>
  <c r="G1994" i="12"/>
  <c r="F1994" i="12"/>
  <c r="E1994" i="12"/>
  <c r="D1994" i="12"/>
  <c r="C1994" i="12"/>
  <c r="B1994" i="12"/>
  <c r="A1994" i="12"/>
  <c r="G1993" i="12"/>
  <c r="F1993" i="12"/>
  <c r="E1993" i="12"/>
  <c r="D1993" i="12"/>
  <c r="C1993" i="12"/>
  <c r="B1993" i="12"/>
  <c r="A1993" i="12"/>
  <c r="G1992" i="12"/>
  <c r="F1992" i="12"/>
  <c r="E1992" i="12"/>
  <c r="D1992" i="12"/>
  <c r="C1992" i="12"/>
  <c r="B1992" i="12"/>
  <c r="A1992" i="12"/>
  <c r="G1991" i="12"/>
  <c r="F1991" i="12"/>
  <c r="E1991" i="12"/>
  <c r="D1991" i="12"/>
  <c r="C1991" i="12"/>
  <c r="B1991" i="12"/>
  <c r="A1991" i="12"/>
  <c r="G1990" i="12"/>
  <c r="F1990" i="12"/>
  <c r="E1990" i="12"/>
  <c r="D1990" i="12"/>
  <c r="C1990" i="12"/>
  <c r="B1990" i="12"/>
  <c r="A1990" i="12"/>
  <c r="G1989" i="12"/>
  <c r="F1989" i="12"/>
  <c r="E1989" i="12"/>
  <c r="D1989" i="12"/>
  <c r="C1989" i="12"/>
  <c r="B1989" i="12"/>
  <c r="A1989" i="12"/>
  <c r="G1988" i="12"/>
  <c r="F1988" i="12"/>
  <c r="E1988" i="12"/>
  <c r="D1988" i="12"/>
  <c r="C1988" i="12"/>
  <c r="B1988" i="12"/>
  <c r="A1988" i="12"/>
  <c r="G1987" i="12"/>
  <c r="F1987" i="12"/>
  <c r="E1987" i="12"/>
  <c r="D1987" i="12"/>
  <c r="C1987" i="12"/>
  <c r="B1987" i="12"/>
  <c r="A1987" i="12"/>
  <c r="G1986" i="12"/>
  <c r="F1986" i="12"/>
  <c r="E1986" i="12"/>
  <c r="D1986" i="12"/>
  <c r="C1986" i="12"/>
  <c r="B1986" i="12"/>
  <c r="A1986" i="12"/>
  <c r="G1985" i="12"/>
  <c r="F1985" i="12"/>
  <c r="E1985" i="12"/>
  <c r="D1985" i="12"/>
  <c r="C1985" i="12"/>
  <c r="B1985" i="12"/>
  <c r="A1985" i="12"/>
  <c r="G1984" i="12"/>
  <c r="F1984" i="12"/>
  <c r="E1984" i="12"/>
  <c r="D1984" i="12"/>
  <c r="C1984" i="12"/>
  <c r="B1984" i="12"/>
  <c r="A1984" i="12"/>
  <c r="G1983" i="12"/>
  <c r="F1983" i="12"/>
  <c r="E1983" i="12"/>
  <c r="D1983" i="12"/>
  <c r="C1983" i="12"/>
  <c r="B1983" i="12"/>
  <c r="A1983" i="12"/>
  <c r="G1982" i="12"/>
  <c r="F1982" i="12"/>
  <c r="E1982" i="12"/>
  <c r="D1982" i="12"/>
  <c r="C1982" i="12"/>
  <c r="B1982" i="12"/>
  <c r="A1982" i="12"/>
  <c r="G1981" i="12"/>
  <c r="F1981" i="12"/>
  <c r="E1981" i="12"/>
  <c r="D1981" i="12"/>
  <c r="C1981" i="12"/>
  <c r="B1981" i="12"/>
  <c r="A1981" i="12"/>
  <c r="G1980" i="12"/>
  <c r="F1980" i="12"/>
  <c r="E1980" i="12"/>
  <c r="D1980" i="12"/>
  <c r="C1980" i="12"/>
  <c r="B1980" i="12"/>
  <c r="A1980" i="12"/>
  <c r="G1979" i="12"/>
  <c r="F1979" i="12"/>
  <c r="E1979" i="12"/>
  <c r="D1979" i="12"/>
  <c r="C1979" i="12"/>
  <c r="B1979" i="12"/>
  <c r="A1979" i="12"/>
  <c r="G1978" i="12"/>
  <c r="F1978" i="12"/>
  <c r="E1978" i="12"/>
  <c r="D1978" i="12"/>
  <c r="C1978" i="12"/>
  <c r="B1978" i="12"/>
  <c r="A1978" i="12"/>
  <c r="G1977" i="12"/>
  <c r="F1977" i="12"/>
  <c r="E1977" i="12"/>
  <c r="D1977" i="12"/>
  <c r="C1977" i="12"/>
  <c r="B1977" i="12"/>
  <c r="A1977" i="12"/>
  <c r="G1976" i="12"/>
  <c r="F1976" i="12"/>
  <c r="E1976" i="12"/>
  <c r="D1976" i="12"/>
  <c r="C1976" i="12"/>
  <c r="B1976" i="12"/>
  <c r="A1976" i="12"/>
  <c r="G1975" i="12"/>
  <c r="F1975" i="12"/>
  <c r="E1975" i="12"/>
  <c r="D1975" i="12"/>
  <c r="C1975" i="12"/>
  <c r="B1975" i="12"/>
  <c r="A1975" i="12"/>
  <c r="G1974" i="12"/>
  <c r="F1974" i="12"/>
  <c r="E1974" i="12"/>
  <c r="D1974" i="12"/>
  <c r="C1974" i="12"/>
  <c r="B1974" i="12"/>
  <c r="A1974" i="12"/>
  <c r="G1973" i="12"/>
  <c r="F1973" i="12"/>
  <c r="E1973" i="12"/>
  <c r="D1973" i="12"/>
  <c r="C1973" i="12"/>
  <c r="B1973" i="12"/>
  <c r="A1973" i="12"/>
  <c r="G1972" i="12"/>
  <c r="F1972" i="12"/>
  <c r="E1972" i="12"/>
  <c r="D1972" i="12"/>
  <c r="C1972" i="12"/>
  <c r="B1972" i="12"/>
  <c r="A1972" i="12"/>
  <c r="G1971" i="12"/>
  <c r="F1971" i="12"/>
  <c r="E1971" i="12"/>
  <c r="D1971" i="12"/>
  <c r="C1971" i="12"/>
  <c r="B1971" i="12"/>
  <c r="A1971" i="12"/>
  <c r="G1970" i="12"/>
  <c r="F1970" i="12"/>
  <c r="E1970" i="12"/>
  <c r="D1970" i="12"/>
  <c r="C1970" i="12"/>
  <c r="B1970" i="12"/>
  <c r="A1970" i="12"/>
  <c r="G1969" i="12"/>
  <c r="F1969" i="12"/>
  <c r="E1969" i="12"/>
  <c r="D1969" i="12"/>
  <c r="C1969" i="12"/>
  <c r="B1969" i="12"/>
  <c r="A1969" i="12"/>
  <c r="G1968" i="12"/>
  <c r="F1968" i="12"/>
  <c r="E1968" i="12"/>
  <c r="D1968" i="12"/>
  <c r="C1968" i="12"/>
  <c r="B1968" i="12"/>
  <c r="A1968" i="12"/>
  <c r="G1967" i="12"/>
  <c r="F1967" i="12"/>
  <c r="E1967" i="12"/>
  <c r="D1967" i="12"/>
  <c r="C1967" i="12"/>
  <c r="B1967" i="12"/>
  <c r="A1967" i="12"/>
  <c r="G1966" i="12"/>
  <c r="F1966" i="12"/>
  <c r="E1966" i="12"/>
  <c r="D1966" i="12"/>
  <c r="C1966" i="12"/>
  <c r="B1966" i="12"/>
  <c r="A1966" i="12"/>
  <c r="G1965" i="12"/>
  <c r="F1965" i="12"/>
  <c r="E1965" i="12"/>
  <c r="D1965" i="12"/>
  <c r="C1965" i="12"/>
  <c r="B1965" i="12"/>
  <c r="A1965" i="12"/>
  <c r="G1964" i="12"/>
  <c r="F1964" i="12"/>
  <c r="E1964" i="12"/>
  <c r="D1964" i="12"/>
  <c r="C1964" i="12"/>
  <c r="B1964" i="12"/>
  <c r="A1964" i="12"/>
  <c r="G1963" i="12"/>
  <c r="F1963" i="12"/>
  <c r="E1963" i="12"/>
  <c r="D1963" i="12"/>
  <c r="C1963" i="12"/>
  <c r="B1963" i="12"/>
  <c r="A1963" i="12"/>
  <c r="G1962" i="12"/>
  <c r="F1962" i="12"/>
  <c r="E1962" i="12"/>
  <c r="D1962" i="12"/>
  <c r="C1962" i="12"/>
  <c r="B1962" i="12"/>
  <c r="A1962" i="12"/>
  <c r="G1961" i="12"/>
  <c r="F1961" i="12"/>
  <c r="E1961" i="12"/>
  <c r="D1961" i="12"/>
  <c r="C1961" i="12"/>
  <c r="B1961" i="12"/>
  <c r="A1961" i="12"/>
  <c r="G1960" i="12"/>
  <c r="F1960" i="12"/>
  <c r="E1960" i="12"/>
  <c r="D1960" i="12"/>
  <c r="C1960" i="12"/>
  <c r="B1960" i="12"/>
  <c r="A1960" i="12"/>
  <c r="G1959" i="12"/>
  <c r="F1959" i="12"/>
  <c r="E1959" i="12"/>
  <c r="D1959" i="12"/>
  <c r="C1959" i="12"/>
  <c r="B1959" i="12"/>
  <c r="A1959" i="12"/>
  <c r="G1958" i="12"/>
  <c r="F1958" i="12"/>
  <c r="E1958" i="12"/>
  <c r="D1958" i="12"/>
  <c r="C1958" i="12"/>
  <c r="B1958" i="12"/>
  <c r="A1958" i="12"/>
  <c r="G1957" i="12"/>
  <c r="F1957" i="12"/>
  <c r="E1957" i="12"/>
  <c r="D1957" i="12"/>
  <c r="C1957" i="12"/>
  <c r="B1957" i="12"/>
  <c r="A1957" i="12"/>
  <c r="G1956" i="12"/>
  <c r="F1956" i="12"/>
  <c r="E1956" i="12"/>
  <c r="D1956" i="12"/>
  <c r="C1956" i="12"/>
  <c r="B1956" i="12"/>
  <c r="A1956" i="12"/>
  <c r="G1955" i="12"/>
  <c r="F1955" i="12"/>
  <c r="E1955" i="12"/>
  <c r="D1955" i="12"/>
  <c r="C1955" i="12"/>
  <c r="B1955" i="12"/>
  <c r="A1955" i="12"/>
  <c r="G1954" i="12"/>
  <c r="F1954" i="12"/>
  <c r="E1954" i="12"/>
  <c r="D1954" i="12"/>
  <c r="C1954" i="12"/>
  <c r="B1954" i="12"/>
  <c r="A1954" i="12"/>
  <c r="G1953" i="12"/>
  <c r="F1953" i="12"/>
  <c r="E1953" i="12"/>
  <c r="D1953" i="12"/>
  <c r="C1953" i="12"/>
  <c r="B1953" i="12"/>
  <c r="A1953" i="12"/>
  <c r="G1952" i="12"/>
  <c r="F1952" i="12"/>
  <c r="E1952" i="12"/>
  <c r="D1952" i="12"/>
  <c r="C1952" i="12"/>
  <c r="B1952" i="12"/>
  <c r="A1952" i="12"/>
  <c r="G1951" i="12"/>
  <c r="F1951" i="12"/>
  <c r="E1951" i="12"/>
  <c r="D1951" i="12"/>
  <c r="C1951" i="12"/>
  <c r="B1951" i="12"/>
  <c r="A1951" i="12"/>
  <c r="G1950" i="12"/>
  <c r="F1950" i="12"/>
  <c r="E1950" i="12"/>
  <c r="D1950" i="12"/>
  <c r="C1950" i="12"/>
  <c r="B1950" i="12"/>
  <c r="A1950" i="12"/>
  <c r="G1949" i="12"/>
  <c r="F1949" i="12"/>
  <c r="E1949" i="12"/>
  <c r="D1949" i="12"/>
  <c r="C1949" i="12"/>
  <c r="B1949" i="12"/>
  <c r="A1949" i="12"/>
  <c r="G1948" i="12"/>
  <c r="F1948" i="12"/>
  <c r="E1948" i="12"/>
  <c r="D1948" i="12"/>
  <c r="C1948" i="12"/>
  <c r="B1948" i="12"/>
  <c r="A1948" i="12"/>
  <c r="G1947" i="12"/>
  <c r="F1947" i="12"/>
  <c r="E1947" i="12"/>
  <c r="D1947" i="12"/>
  <c r="C1947" i="12"/>
  <c r="B1947" i="12"/>
  <c r="A1947" i="12"/>
  <c r="G1946" i="12"/>
  <c r="F1946" i="12"/>
  <c r="E1946" i="12"/>
  <c r="D1946" i="12"/>
  <c r="C1946" i="12"/>
  <c r="B1946" i="12"/>
  <c r="A1946" i="12"/>
  <c r="G1945" i="12"/>
  <c r="F1945" i="12"/>
  <c r="E1945" i="12"/>
  <c r="D1945" i="12"/>
  <c r="C1945" i="12"/>
  <c r="B1945" i="12"/>
  <c r="A1945" i="12"/>
  <c r="G1944" i="12"/>
  <c r="F1944" i="12"/>
  <c r="E1944" i="12"/>
  <c r="D1944" i="12"/>
  <c r="C1944" i="12"/>
  <c r="B1944" i="12"/>
  <c r="A1944" i="12"/>
  <c r="G1943" i="12"/>
  <c r="F1943" i="12"/>
  <c r="E1943" i="12"/>
  <c r="D1943" i="12"/>
  <c r="C1943" i="12"/>
  <c r="B1943" i="12"/>
  <c r="A1943" i="12"/>
  <c r="G1942" i="12"/>
  <c r="F1942" i="12"/>
  <c r="E1942" i="12"/>
  <c r="D1942" i="12"/>
  <c r="C1942" i="12"/>
  <c r="B1942" i="12"/>
  <c r="A1942" i="12"/>
  <c r="G1941" i="12"/>
  <c r="F1941" i="12"/>
  <c r="E1941" i="12"/>
  <c r="D1941" i="12"/>
  <c r="C1941" i="12"/>
  <c r="B1941" i="12"/>
  <c r="A1941" i="12"/>
  <c r="G1940" i="12"/>
  <c r="F1940" i="12"/>
  <c r="E1940" i="12"/>
  <c r="D1940" i="12"/>
  <c r="C1940" i="12"/>
  <c r="B1940" i="12"/>
  <c r="A1940" i="12"/>
  <c r="G1939" i="12"/>
  <c r="F1939" i="12"/>
  <c r="E1939" i="12"/>
  <c r="D1939" i="12"/>
  <c r="C1939" i="12"/>
  <c r="B1939" i="12"/>
  <c r="A1939" i="12"/>
  <c r="G1938" i="12"/>
  <c r="F1938" i="12"/>
  <c r="E1938" i="12"/>
  <c r="D1938" i="12"/>
  <c r="C1938" i="12"/>
  <c r="B1938" i="12"/>
  <c r="A1938" i="12"/>
  <c r="G1937" i="12"/>
  <c r="F1937" i="12"/>
  <c r="E1937" i="12"/>
  <c r="D1937" i="12"/>
  <c r="C1937" i="12"/>
  <c r="B1937" i="12"/>
  <c r="A1937" i="12"/>
  <c r="G1936" i="12"/>
  <c r="F1936" i="12"/>
  <c r="E1936" i="12"/>
  <c r="D1936" i="12"/>
  <c r="C1936" i="12"/>
  <c r="B1936" i="12"/>
  <c r="A1936" i="12"/>
  <c r="G1935" i="12"/>
  <c r="F1935" i="12"/>
  <c r="E1935" i="12"/>
  <c r="D1935" i="12"/>
  <c r="C1935" i="12"/>
  <c r="B1935" i="12"/>
  <c r="A1935" i="12"/>
  <c r="G1934" i="12"/>
  <c r="F1934" i="12"/>
  <c r="E1934" i="12"/>
  <c r="D1934" i="12"/>
  <c r="C1934" i="12"/>
  <c r="B1934" i="12"/>
  <c r="A1934" i="12"/>
  <c r="G1933" i="12"/>
  <c r="F1933" i="12"/>
  <c r="E1933" i="12"/>
  <c r="D1933" i="12"/>
  <c r="C1933" i="12"/>
  <c r="B1933" i="12"/>
  <c r="A1933" i="12"/>
  <c r="G1932" i="12"/>
  <c r="F1932" i="12"/>
  <c r="E1932" i="12"/>
  <c r="D1932" i="12"/>
  <c r="C1932" i="12"/>
  <c r="B1932" i="12"/>
  <c r="A1932" i="12"/>
  <c r="G1931" i="12"/>
  <c r="F1931" i="12"/>
  <c r="E1931" i="12"/>
  <c r="D1931" i="12"/>
  <c r="C1931" i="12"/>
  <c r="B1931" i="12"/>
  <c r="A1931" i="12"/>
  <c r="G1930" i="12"/>
  <c r="F1930" i="12"/>
  <c r="E1930" i="12"/>
  <c r="D1930" i="12"/>
  <c r="C1930" i="12"/>
  <c r="B1930" i="12"/>
  <c r="A1930" i="12"/>
  <c r="G1929" i="12"/>
  <c r="F1929" i="12"/>
  <c r="E1929" i="12"/>
  <c r="D1929" i="12"/>
  <c r="C1929" i="12"/>
  <c r="B1929" i="12"/>
  <c r="A1929" i="12"/>
  <c r="G1928" i="12"/>
  <c r="F1928" i="12"/>
  <c r="E1928" i="12"/>
  <c r="D1928" i="12"/>
  <c r="C1928" i="12"/>
  <c r="B1928" i="12"/>
  <c r="A1928" i="12"/>
  <c r="G1927" i="12"/>
  <c r="F1927" i="12"/>
  <c r="E1927" i="12"/>
  <c r="D1927" i="12"/>
  <c r="C1927" i="12"/>
  <c r="B1927" i="12"/>
  <c r="A1927" i="12"/>
  <c r="G1926" i="12"/>
  <c r="F1926" i="12"/>
  <c r="E1926" i="12"/>
  <c r="D1926" i="12"/>
  <c r="C1926" i="12"/>
  <c r="B1926" i="12"/>
  <c r="A1926" i="12"/>
  <c r="G1925" i="12"/>
  <c r="F1925" i="12"/>
  <c r="E1925" i="12"/>
  <c r="D1925" i="12"/>
  <c r="C1925" i="12"/>
  <c r="B1925" i="12"/>
  <c r="A1925" i="12"/>
  <c r="G1924" i="12"/>
  <c r="F1924" i="12"/>
  <c r="E1924" i="12"/>
  <c r="D1924" i="12"/>
  <c r="C1924" i="12"/>
  <c r="B1924" i="12"/>
  <c r="A1924" i="12"/>
  <c r="G1923" i="12"/>
  <c r="F1923" i="12"/>
  <c r="E1923" i="12"/>
  <c r="D1923" i="12"/>
  <c r="C1923" i="12"/>
  <c r="B1923" i="12"/>
  <c r="A1923" i="12"/>
  <c r="G1922" i="12"/>
  <c r="F1922" i="12"/>
  <c r="E1922" i="12"/>
  <c r="D1922" i="12"/>
  <c r="C1922" i="12"/>
  <c r="B1922" i="12"/>
  <c r="A1922" i="12"/>
  <c r="G1921" i="12"/>
  <c r="F1921" i="12"/>
  <c r="E1921" i="12"/>
  <c r="D1921" i="12"/>
  <c r="C1921" i="12"/>
  <c r="B1921" i="12"/>
  <c r="A1921" i="12"/>
  <c r="G1920" i="12"/>
  <c r="F1920" i="12"/>
  <c r="E1920" i="12"/>
  <c r="D1920" i="12"/>
  <c r="C1920" i="12"/>
  <c r="B1920" i="12"/>
  <c r="A1920" i="12"/>
  <c r="G1919" i="12"/>
  <c r="F1919" i="12"/>
  <c r="E1919" i="12"/>
  <c r="D1919" i="12"/>
  <c r="C1919" i="12"/>
  <c r="B1919" i="12"/>
  <c r="A1919" i="12"/>
  <c r="G1918" i="12"/>
  <c r="F1918" i="12"/>
  <c r="E1918" i="12"/>
  <c r="D1918" i="12"/>
  <c r="C1918" i="12"/>
  <c r="B1918" i="12"/>
  <c r="A1918" i="12"/>
  <c r="G1917" i="12"/>
  <c r="F1917" i="12"/>
  <c r="E1917" i="12"/>
  <c r="D1917" i="12"/>
  <c r="C1917" i="12"/>
  <c r="B1917" i="12"/>
  <c r="A1917" i="12"/>
  <c r="G1916" i="12"/>
  <c r="F1916" i="12"/>
  <c r="E1916" i="12"/>
  <c r="D1916" i="12"/>
  <c r="C1916" i="12"/>
  <c r="B1916" i="12"/>
  <c r="A1916" i="12"/>
  <c r="G1915" i="12"/>
  <c r="F1915" i="12"/>
  <c r="E1915" i="12"/>
  <c r="D1915" i="12"/>
  <c r="C1915" i="12"/>
  <c r="B1915" i="12"/>
  <c r="A1915" i="12"/>
  <c r="G1914" i="12"/>
  <c r="F1914" i="12"/>
  <c r="E1914" i="12"/>
  <c r="D1914" i="12"/>
  <c r="C1914" i="12"/>
  <c r="B1914" i="12"/>
  <c r="A1914" i="12"/>
  <c r="G1913" i="12"/>
  <c r="F1913" i="12"/>
  <c r="E1913" i="12"/>
  <c r="D1913" i="12"/>
  <c r="C1913" i="12"/>
  <c r="B1913" i="12"/>
  <c r="A1913" i="12"/>
  <c r="G1912" i="12"/>
  <c r="F1912" i="12"/>
  <c r="E1912" i="12"/>
  <c r="D1912" i="12"/>
  <c r="C1912" i="12"/>
  <c r="B1912" i="12"/>
  <c r="A1912" i="12"/>
  <c r="G1911" i="12"/>
  <c r="F1911" i="12"/>
  <c r="E1911" i="12"/>
  <c r="D1911" i="12"/>
  <c r="C1911" i="12"/>
  <c r="B1911" i="12"/>
  <c r="A1911" i="12"/>
  <c r="G1910" i="12"/>
  <c r="F1910" i="12"/>
  <c r="E1910" i="12"/>
  <c r="D1910" i="12"/>
  <c r="C1910" i="12"/>
  <c r="B1910" i="12"/>
  <c r="A1910" i="12"/>
  <c r="G1909" i="12"/>
  <c r="F1909" i="12"/>
  <c r="E1909" i="12"/>
  <c r="D1909" i="12"/>
  <c r="C1909" i="12"/>
  <c r="B1909" i="12"/>
  <c r="A1909" i="12"/>
  <c r="G1908" i="12"/>
  <c r="F1908" i="12"/>
  <c r="E1908" i="12"/>
  <c r="D1908" i="12"/>
  <c r="C1908" i="12"/>
  <c r="B1908" i="12"/>
  <c r="A1908" i="12"/>
  <c r="G1907" i="12"/>
  <c r="F1907" i="12"/>
  <c r="E1907" i="12"/>
  <c r="D1907" i="12"/>
  <c r="C1907" i="12"/>
  <c r="B1907" i="12"/>
  <c r="A1907" i="12"/>
  <c r="G1906" i="12"/>
  <c r="F1906" i="12"/>
  <c r="E1906" i="12"/>
  <c r="D1906" i="12"/>
  <c r="C1906" i="12"/>
  <c r="B1906" i="12"/>
  <c r="A1906" i="12"/>
  <c r="G1905" i="12"/>
  <c r="F1905" i="12"/>
  <c r="E1905" i="12"/>
  <c r="D1905" i="12"/>
  <c r="C1905" i="12"/>
  <c r="B1905" i="12"/>
  <c r="A1905" i="12"/>
  <c r="G1904" i="12"/>
  <c r="F1904" i="12"/>
  <c r="E1904" i="12"/>
  <c r="D1904" i="12"/>
  <c r="C1904" i="12"/>
  <c r="B1904" i="12"/>
  <c r="A1904" i="12"/>
  <c r="G1903" i="12"/>
  <c r="F1903" i="12"/>
  <c r="E1903" i="12"/>
  <c r="D1903" i="12"/>
  <c r="C1903" i="12"/>
  <c r="B1903" i="12"/>
  <c r="A1903" i="12"/>
  <c r="G1902" i="12"/>
  <c r="F1902" i="12"/>
  <c r="E1902" i="12"/>
  <c r="D1902" i="12"/>
  <c r="C1902" i="12"/>
  <c r="B1902" i="12"/>
  <c r="A1902" i="12"/>
  <c r="G1901" i="12"/>
  <c r="F1901" i="12"/>
  <c r="E1901" i="12"/>
  <c r="D1901" i="12"/>
  <c r="C1901" i="12"/>
  <c r="B1901" i="12"/>
  <c r="A1901" i="12"/>
  <c r="G1900" i="12"/>
  <c r="F1900" i="12"/>
  <c r="E1900" i="12"/>
  <c r="D1900" i="12"/>
  <c r="C1900" i="12"/>
  <c r="B1900" i="12"/>
  <c r="A1900" i="12"/>
  <c r="G1899" i="12"/>
  <c r="F1899" i="12"/>
  <c r="E1899" i="12"/>
  <c r="D1899" i="12"/>
  <c r="C1899" i="12"/>
  <c r="B1899" i="12"/>
  <c r="A1899" i="12"/>
  <c r="G1898" i="12"/>
  <c r="F1898" i="12"/>
  <c r="E1898" i="12"/>
  <c r="D1898" i="12"/>
  <c r="C1898" i="12"/>
  <c r="B1898" i="12"/>
  <c r="A1898" i="12"/>
  <c r="G1897" i="12"/>
  <c r="F1897" i="12"/>
  <c r="E1897" i="12"/>
  <c r="D1897" i="12"/>
  <c r="C1897" i="12"/>
  <c r="B1897" i="12"/>
  <c r="A1897" i="12"/>
  <c r="G1896" i="12"/>
  <c r="F1896" i="12"/>
  <c r="E1896" i="12"/>
  <c r="D1896" i="12"/>
  <c r="C1896" i="12"/>
  <c r="B1896" i="12"/>
  <c r="A1896" i="12"/>
  <c r="G1895" i="12"/>
  <c r="F1895" i="12"/>
  <c r="E1895" i="12"/>
  <c r="D1895" i="12"/>
  <c r="C1895" i="12"/>
  <c r="B1895" i="12"/>
  <c r="A1895" i="12"/>
  <c r="G1894" i="12"/>
  <c r="F1894" i="12"/>
  <c r="E1894" i="12"/>
  <c r="D1894" i="12"/>
  <c r="C1894" i="12"/>
  <c r="B1894" i="12"/>
  <c r="A1894" i="12"/>
  <c r="G1893" i="12"/>
  <c r="F1893" i="12"/>
  <c r="E1893" i="12"/>
  <c r="D1893" i="12"/>
  <c r="C1893" i="12"/>
  <c r="B1893" i="12"/>
  <c r="A1893" i="12"/>
  <c r="G1892" i="12"/>
  <c r="F1892" i="12"/>
  <c r="E1892" i="12"/>
  <c r="D1892" i="12"/>
  <c r="C1892" i="12"/>
  <c r="B1892" i="12"/>
  <c r="A1892" i="12"/>
  <c r="G1891" i="12"/>
  <c r="F1891" i="12"/>
  <c r="E1891" i="12"/>
  <c r="D1891" i="12"/>
  <c r="C1891" i="12"/>
  <c r="B1891" i="12"/>
  <c r="A1891" i="12"/>
  <c r="G1890" i="12"/>
  <c r="F1890" i="12"/>
  <c r="E1890" i="12"/>
  <c r="D1890" i="12"/>
  <c r="C1890" i="12"/>
  <c r="B1890" i="12"/>
  <c r="A1890" i="12"/>
  <c r="G1889" i="12"/>
  <c r="F1889" i="12"/>
  <c r="E1889" i="12"/>
  <c r="D1889" i="12"/>
  <c r="C1889" i="12"/>
  <c r="B1889" i="12"/>
  <c r="A1889" i="12"/>
  <c r="G1888" i="12"/>
  <c r="F1888" i="12"/>
  <c r="E1888" i="12"/>
  <c r="D1888" i="12"/>
  <c r="C1888" i="12"/>
  <c r="B1888" i="12"/>
  <c r="A1888" i="12"/>
  <c r="G1887" i="12"/>
  <c r="F1887" i="12"/>
  <c r="E1887" i="12"/>
  <c r="D1887" i="12"/>
  <c r="C1887" i="12"/>
  <c r="B1887" i="12"/>
  <c r="A1887" i="12"/>
  <c r="G1886" i="12"/>
  <c r="F1886" i="12"/>
  <c r="E1886" i="12"/>
  <c r="D1886" i="12"/>
  <c r="C1886" i="12"/>
  <c r="B1886" i="12"/>
  <c r="A1886" i="12"/>
  <c r="G1885" i="12"/>
  <c r="F1885" i="12"/>
  <c r="E1885" i="12"/>
  <c r="D1885" i="12"/>
  <c r="C1885" i="12"/>
  <c r="B1885" i="12"/>
  <c r="A1885" i="12"/>
  <c r="G1884" i="12"/>
  <c r="F1884" i="12"/>
  <c r="E1884" i="12"/>
  <c r="D1884" i="12"/>
  <c r="C1884" i="12"/>
  <c r="B1884" i="12"/>
  <c r="A1884" i="12"/>
  <c r="G1883" i="12"/>
  <c r="F1883" i="12"/>
  <c r="E1883" i="12"/>
  <c r="D1883" i="12"/>
  <c r="C1883" i="12"/>
  <c r="B1883" i="12"/>
  <c r="A1883" i="12"/>
  <c r="G1882" i="12"/>
  <c r="F1882" i="12"/>
  <c r="E1882" i="12"/>
  <c r="D1882" i="12"/>
  <c r="C1882" i="12"/>
  <c r="B1882" i="12"/>
  <c r="A1882" i="12"/>
  <c r="G1881" i="12"/>
  <c r="F1881" i="12"/>
  <c r="E1881" i="12"/>
  <c r="D1881" i="12"/>
  <c r="C1881" i="12"/>
  <c r="B1881" i="12"/>
  <c r="A1881" i="12"/>
  <c r="G1880" i="12"/>
  <c r="F1880" i="12"/>
  <c r="E1880" i="12"/>
  <c r="D1880" i="12"/>
  <c r="C1880" i="12"/>
  <c r="B1880" i="12"/>
  <c r="A1880" i="12"/>
  <c r="G1879" i="12"/>
  <c r="F1879" i="12"/>
  <c r="E1879" i="12"/>
  <c r="D1879" i="12"/>
  <c r="C1879" i="12"/>
  <c r="B1879" i="12"/>
  <c r="A1879" i="12"/>
  <c r="G1878" i="12"/>
  <c r="F1878" i="12"/>
  <c r="E1878" i="12"/>
  <c r="D1878" i="12"/>
  <c r="C1878" i="12"/>
  <c r="B1878" i="12"/>
  <c r="A1878" i="12"/>
  <c r="G1877" i="12"/>
  <c r="F1877" i="12"/>
  <c r="E1877" i="12"/>
  <c r="D1877" i="12"/>
  <c r="C1877" i="12"/>
  <c r="B1877" i="12"/>
  <c r="A1877" i="12"/>
  <c r="G1876" i="12"/>
  <c r="F1876" i="12"/>
  <c r="E1876" i="12"/>
  <c r="D1876" i="12"/>
  <c r="C1876" i="12"/>
  <c r="B1876" i="12"/>
  <c r="A1876" i="12"/>
  <c r="G1875" i="12"/>
  <c r="F1875" i="12"/>
  <c r="E1875" i="12"/>
  <c r="D1875" i="12"/>
  <c r="C1875" i="12"/>
  <c r="B1875" i="12"/>
  <c r="A1875" i="12"/>
  <c r="G1874" i="12"/>
  <c r="F1874" i="12"/>
  <c r="E1874" i="12"/>
  <c r="D1874" i="12"/>
  <c r="C1874" i="12"/>
  <c r="B1874" i="12"/>
  <c r="A1874" i="12"/>
  <c r="G1873" i="12"/>
  <c r="F1873" i="12"/>
  <c r="E1873" i="12"/>
  <c r="D1873" i="12"/>
  <c r="C1873" i="12"/>
  <c r="B1873" i="12"/>
  <c r="A1873" i="12"/>
  <c r="G1872" i="12"/>
  <c r="F1872" i="12"/>
  <c r="E1872" i="12"/>
  <c r="D1872" i="12"/>
  <c r="C1872" i="12"/>
  <c r="B1872" i="12"/>
  <c r="A1872" i="12"/>
  <c r="G1871" i="12"/>
  <c r="F1871" i="12"/>
  <c r="E1871" i="12"/>
  <c r="D1871" i="12"/>
  <c r="C1871" i="12"/>
  <c r="B1871" i="12"/>
  <c r="A1871" i="12"/>
  <c r="G1870" i="12"/>
  <c r="F1870" i="12"/>
  <c r="E1870" i="12"/>
  <c r="D1870" i="12"/>
  <c r="C1870" i="12"/>
  <c r="B1870" i="12"/>
  <c r="A1870" i="12"/>
  <c r="G1869" i="12"/>
  <c r="F1869" i="12"/>
  <c r="E1869" i="12"/>
  <c r="D1869" i="12"/>
  <c r="C1869" i="12"/>
  <c r="B1869" i="12"/>
  <c r="A1869" i="12"/>
  <c r="G1868" i="12"/>
  <c r="F1868" i="12"/>
  <c r="E1868" i="12"/>
  <c r="D1868" i="12"/>
  <c r="C1868" i="12"/>
  <c r="B1868" i="12"/>
  <c r="A1868" i="12"/>
  <c r="G1867" i="12"/>
  <c r="F1867" i="12"/>
  <c r="E1867" i="12"/>
  <c r="D1867" i="12"/>
  <c r="C1867" i="12"/>
  <c r="B1867" i="12"/>
  <c r="A1867" i="12"/>
  <c r="G1866" i="12"/>
  <c r="F1866" i="12"/>
  <c r="E1866" i="12"/>
  <c r="D1866" i="12"/>
  <c r="C1866" i="12"/>
  <c r="B1866" i="12"/>
  <c r="A1866" i="12"/>
  <c r="G1865" i="12"/>
  <c r="F1865" i="12"/>
  <c r="E1865" i="12"/>
  <c r="D1865" i="12"/>
  <c r="C1865" i="12"/>
  <c r="B1865" i="12"/>
  <c r="A1865" i="12"/>
  <c r="G1864" i="12"/>
  <c r="F1864" i="12"/>
  <c r="E1864" i="12"/>
  <c r="D1864" i="12"/>
  <c r="C1864" i="12"/>
  <c r="B1864" i="12"/>
  <c r="A1864" i="12"/>
  <c r="G1863" i="12"/>
  <c r="F1863" i="12"/>
  <c r="E1863" i="12"/>
  <c r="D1863" i="12"/>
  <c r="C1863" i="12"/>
  <c r="B1863" i="12"/>
  <c r="A1863" i="12"/>
  <c r="G1862" i="12"/>
  <c r="F1862" i="12"/>
  <c r="E1862" i="12"/>
  <c r="D1862" i="12"/>
  <c r="C1862" i="12"/>
  <c r="B1862" i="12"/>
  <c r="A1862" i="12"/>
  <c r="G1861" i="12"/>
  <c r="F1861" i="12"/>
  <c r="E1861" i="12"/>
  <c r="D1861" i="12"/>
  <c r="C1861" i="12"/>
  <c r="B1861" i="12"/>
  <c r="A1861" i="12"/>
  <c r="G1860" i="12"/>
  <c r="F1860" i="12"/>
  <c r="E1860" i="12"/>
  <c r="D1860" i="12"/>
  <c r="C1860" i="12"/>
  <c r="B1860" i="12"/>
  <c r="A1860" i="12"/>
  <c r="G1859" i="12"/>
  <c r="F1859" i="12"/>
  <c r="E1859" i="12"/>
  <c r="D1859" i="12"/>
  <c r="C1859" i="12"/>
  <c r="B1859" i="12"/>
  <c r="A1859" i="12"/>
  <c r="G1858" i="12"/>
  <c r="F1858" i="12"/>
  <c r="E1858" i="12"/>
  <c r="D1858" i="12"/>
  <c r="C1858" i="12"/>
  <c r="B1858" i="12"/>
  <c r="A1858" i="12"/>
  <c r="G1857" i="12"/>
  <c r="F1857" i="12"/>
  <c r="E1857" i="12"/>
  <c r="D1857" i="12"/>
  <c r="C1857" i="12"/>
  <c r="B1857" i="12"/>
  <c r="A1857" i="12"/>
  <c r="G1856" i="12"/>
  <c r="F1856" i="12"/>
  <c r="E1856" i="12"/>
  <c r="D1856" i="12"/>
  <c r="C1856" i="12"/>
  <c r="B1856" i="12"/>
  <c r="A1856" i="12"/>
  <c r="G1855" i="12"/>
  <c r="F1855" i="12"/>
  <c r="E1855" i="12"/>
  <c r="D1855" i="12"/>
  <c r="C1855" i="12"/>
  <c r="B1855" i="12"/>
  <c r="A1855" i="12"/>
  <c r="G1854" i="12"/>
  <c r="F1854" i="12"/>
  <c r="E1854" i="12"/>
  <c r="D1854" i="12"/>
  <c r="C1854" i="12"/>
  <c r="B1854" i="12"/>
  <c r="A1854" i="12"/>
  <c r="G1853" i="12"/>
  <c r="F1853" i="12"/>
  <c r="E1853" i="12"/>
  <c r="D1853" i="12"/>
  <c r="C1853" i="12"/>
  <c r="B1853" i="12"/>
  <c r="A1853" i="12"/>
  <c r="G1852" i="12"/>
  <c r="F1852" i="12"/>
  <c r="E1852" i="12"/>
  <c r="D1852" i="12"/>
  <c r="C1852" i="12"/>
  <c r="B1852" i="12"/>
  <c r="A1852" i="12"/>
  <c r="G1851" i="12"/>
  <c r="F1851" i="12"/>
  <c r="E1851" i="12"/>
  <c r="D1851" i="12"/>
  <c r="C1851" i="12"/>
  <c r="B1851" i="12"/>
  <c r="A1851" i="12"/>
  <c r="G1850" i="12"/>
  <c r="F1850" i="12"/>
  <c r="E1850" i="12"/>
  <c r="D1850" i="12"/>
  <c r="C1850" i="12"/>
  <c r="B1850" i="12"/>
  <c r="A1850" i="12"/>
  <c r="G1849" i="12"/>
  <c r="F1849" i="12"/>
  <c r="E1849" i="12"/>
  <c r="D1849" i="12"/>
  <c r="C1849" i="12"/>
  <c r="B1849" i="12"/>
  <c r="A1849" i="12"/>
  <c r="G1848" i="12"/>
  <c r="F1848" i="12"/>
  <c r="E1848" i="12"/>
  <c r="D1848" i="12"/>
  <c r="C1848" i="12"/>
  <c r="B1848" i="12"/>
  <c r="A1848" i="12"/>
  <c r="G1847" i="12"/>
  <c r="F1847" i="12"/>
  <c r="E1847" i="12"/>
  <c r="D1847" i="12"/>
  <c r="C1847" i="12"/>
  <c r="B1847" i="12"/>
  <c r="A1847" i="12"/>
  <c r="G1846" i="12"/>
  <c r="F1846" i="12"/>
  <c r="E1846" i="12"/>
  <c r="D1846" i="12"/>
  <c r="C1846" i="12"/>
  <c r="B1846" i="12"/>
  <c r="A1846" i="12"/>
  <c r="G1845" i="12"/>
  <c r="F1845" i="12"/>
  <c r="E1845" i="12"/>
  <c r="D1845" i="12"/>
  <c r="C1845" i="12"/>
  <c r="B1845" i="12"/>
  <c r="A1845" i="12"/>
  <c r="G1844" i="12"/>
  <c r="F1844" i="12"/>
  <c r="E1844" i="12"/>
  <c r="D1844" i="12"/>
  <c r="C1844" i="12"/>
  <c r="B1844" i="12"/>
  <c r="A1844" i="12"/>
  <c r="G1843" i="12"/>
  <c r="F1843" i="12"/>
  <c r="E1843" i="12"/>
  <c r="D1843" i="12"/>
  <c r="C1843" i="12"/>
  <c r="B1843" i="12"/>
  <c r="A1843" i="12"/>
  <c r="G1842" i="12"/>
  <c r="F1842" i="12"/>
  <c r="E1842" i="12"/>
  <c r="D1842" i="12"/>
  <c r="C1842" i="12"/>
  <c r="B1842" i="12"/>
  <c r="A1842" i="12"/>
  <c r="G1841" i="12"/>
  <c r="F1841" i="12"/>
  <c r="E1841" i="12"/>
  <c r="D1841" i="12"/>
  <c r="C1841" i="12"/>
  <c r="B1841" i="12"/>
  <c r="A1841" i="12"/>
  <c r="G1840" i="12"/>
  <c r="F1840" i="12"/>
  <c r="E1840" i="12"/>
  <c r="D1840" i="12"/>
  <c r="C1840" i="12"/>
  <c r="B1840" i="12"/>
  <c r="A1840" i="12"/>
  <c r="G1839" i="12"/>
  <c r="F1839" i="12"/>
  <c r="E1839" i="12"/>
  <c r="D1839" i="12"/>
  <c r="C1839" i="12"/>
  <c r="B1839" i="12"/>
  <c r="A1839" i="12"/>
  <c r="G1838" i="12"/>
  <c r="F1838" i="12"/>
  <c r="E1838" i="12"/>
  <c r="D1838" i="12"/>
  <c r="C1838" i="12"/>
  <c r="B1838" i="12"/>
  <c r="A1838" i="12"/>
  <c r="G1837" i="12"/>
  <c r="F1837" i="12"/>
  <c r="E1837" i="12"/>
  <c r="D1837" i="12"/>
  <c r="C1837" i="12"/>
  <c r="B1837" i="12"/>
  <c r="A1837" i="12"/>
  <c r="G1836" i="12"/>
  <c r="F1836" i="12"/>
  <c r="E1836" i="12"/>
  <c r="D1836" i="12"/>
  <c r="C1836" i="12"/>
  <c r="B1836" i="12"/>
  <c r="A1836" i="12"/>
  <c r="G1835" i="12"/>
  <c r="F1835" i="12"/>
  <c r="E1835" i="12"/>
  <c r="D1835" i="12"/>
  <c r="C1835" i="12"/>
  <c r="B1835" i="12"/>
  <c r="A1835" i="12"/>
  <c r="G1834" i="12"/>
  <c r="F1834" i="12"/>
  <c r="E1834" i="12"/>
  <c r="D1834" i="12"/>
  <c r="C1834" i="12"/>
  <c r="B1834" i="12"/>
  <c r="A1834" i="12"/>
  <c r="G1833" i="12"/>
  <c r="F1833" i="12"/>
  <c r="E1833" i="12"/>
  <c r="D1833" i="12"/>
  <c r="C1833" i="12"/>
  <c r="B1833" i="12"/>
  <c r="A1833" i="12"/>
  <c r="G1832" i="12"/>
  <c r="F1832" i="12"/>
  <c r="E1832" i="12"/>
  <c r="D1832" i="12"/>
  <c r="C1832" i="12"/>
  <c r="B1832" i="12"/>
  <c r="A1832" i="12"/>
  <c r="G1831" i="12"/>
  <c r="F1831" i="12"/>
  <c r="E1831" i="12"/>
  <c r="D1831" i="12"/>
  <c r="C1831" i="12"/>
  <c r="B1831" i="12"/>
  <c r="A1831" i="12"/>
  <c r="G1830" i="12"/>
  <c r="F1830" i="12"/>
  <c r="E1830" i="12"/>
  <c r="D1830" i="12"/>
  <c r="C1830" i="12"/>
  <c r="B1830" i="12"/>
  <c r="A1830" i="12"/>
  <c r="G1829" i="12"/>
  <c r="F1829" i="12"/>
  <c r="E1829" i="12"/>
  <c r="D1829" i="12"/>
  <c r="C1829" i="12"/>
  <c r="B1829" i="12"/>
  <c r="A1829" i="12"/>
  <c r="G1828" i="12"/>
  <c r="F1828" i="12"/>
  <c r="E1828" i="12"/>
  <c r="D1828" i="12"/>
  <c r="C1828" i="12"/>
  <c r="B1828" i="12"/>
  <c r="A1828" i="12"/>
  <c r="G1827" i="12"/>
  <c r="F1827" i="12"/>
  <c r="E1827" i="12"/>
  <c r="D1827" i="12"/>
  <c r="C1827" i="12"/>
  <c r="B1827" i="12"/>
  <c r="A1827" i="12"/>
  <c r="G1826" i="12"/>
  <c r="F1826" i="12"/>
  <c r="E1826" i="12"/>
  <c r="D1826" i="12"/>
  <c r="C1826" i="12"/>
  <c r="B1826" i="12"/>
  <c r="A1826" i="12"/>
  <c r="G1825" i="12"/>
  <c r="F1825" i="12"/>
  <c r="E1825" i="12"/>
  <c r="D1825" i="12"/>
  <c r="C1825" i="12"/>
  <c r="B1825" i="12"/>
  <c r="A1825" i="12"/>
  <c r="G1824" i="12"/>
  <c r="F1824" i="12"/>
  <c r="E1824" i="12"/>
  <c r="D1824" i="12"/>
  <c r="C1824" i="12"/>
  <c r="B1824" i="12"/>
  <c r="A1824" i="12"/>
  <c r="G1823" i="12"/>
  <c r="F1823" i="12"/>
  <c r="E1823" i="12"/>
  <c r="D1823" i="12"/>
  <c r="C1823" i="12"/>
  <c r="B1823" i="12"/>
  <c r="A1823" i="12"/>
  <c r="G1822" i="12"/>
  <c r="F1822" i="12"/>
  <c r="E1822" i="12"/>
  <c r="D1822" i="12"/>
  <c r="C1822" i="12"/>
  <c r="B1822" i="12"/>
  <c r="A1822" i="12"/>
  <c r="G1821" i="12"/>
  <c r="F1821" i="12"/>
  <c r="E1821" i="12"/>
  <c r="D1821" i="12"/>
  <c r="C1821" i="12"/>
  <c r="B1821" i="12"/>
  <c r="A1821" i="12"/>
  <c r="G1820" i="12"/>
  <c r="F1820" i="12"/>
  <c r="E1820" i="12"/>
  <c r="D1820" i="12"/>
  <c r="C1820" i="12"/>
  <c r="B1820" i="12"/>
  <c r="A1820" i="12"/>
  <c r="G1819" i="12"/>
  <c r="F1819" i="12"/>
  <c r="E1819" i="12"/>
  <c r="D1819" i="12"/>
  <c r="C1819" i="12"/>
  <c r="B1819" i="12"/>
  <c r="A1819" i="12"/>
  <c r="G1818" i="12"/>
  <c r="F1818" i="12"/>
  <c r="E1818" i="12"/>
  <c r="D1818" i="12"/>
  <c r="C1818" i="12"/>
  <c r="B1818" i="12"/>
  <c r="A1818" i="12"/>
  <c r="G1817" i="12"/>
  <c r="F1817" i="12"/>
  <c r="E1817" i="12"/>
  <c r="D1817" i="12"/>
  <c r="C1817" i="12"/>
  <c r="B1817" i="12"/>
  <c r="A1817" i="12"/>
  <c r="G1816" i="12"/>
  <c r="F1816" i="12"/>
  <c r="E1816" i="12"/>
  <c r="D1816" i="12"/>
  <c r="C1816" i="12"/>
  <c r="B1816" i="12"/>
  <c r="A1816" i="12"/>
  <c r="G1815" i="12"/>
  <c r="F1815" i="12"/>
  <c r="E1815" i="12"/>
  <c r="D1815" i="12"/>
  <c r="C1815" i="12"/>
  <c r="B1815" i="12"/>
  <c r="A1815" i="12"/>
  <c r="G1814" i="12"/>
  <c r="F1814" i="12"/>
  <c r="E1814" i="12"/>
  <c r="D1814" i="12"/>
  <c r="C1814" i="12"/>
  <c r="B1814" i="12"/>
  <c r="A1814" i="12"/>
  <c r="G1813" i="12"/>
  <c r="F1813" i="12"/>
  <c r="E1813" i="12"/>
  <c r="D1813" i="12"/>
  <c r="C1813" i="12"/>
  <c r="B1813" i="12"/>
  <c r="A1813" i="12"/>
  <c r="G1812" i="12"/>
  <c r="F1812" i="12"/>
  <c r="E1812" i="12"/>
  <c r="D1812" i="12"/>
  <c r="C1812" i="12"/>
  <c r="B1812" i="12"/>
  <c r="A1812" i="12"/>
  <c r="G1811" i="12"/>
  <c r="F1811" i="12"/>
  <c r="E1811" i="12"/>
  <c r="D1811" i="12"/>
  <c r="C1811" i="12"/>
  <c r="B1811" i="12"/>
  <c r="A1811" i="12"/>
  <c r="G1810" i="12"/>
  <c r="F1810" i="12"/>
  <c r="E1810" i="12"/>
  <c r="D1810" i="12"/>
  <c r="C1810" i="12"/>
  <c r="B1810" i="12"/>
  <c r="A1810" i="12"/>
  <c r="G1809" i="12"/>
  <c r="F1809" i="12"/>
  <c r="E1809" i="12"/>
  <c r="D1809" i="12"/>
  <c r="C1809" i="12"/>
  <c r="B1809" i="12"/>
  <c r="A1809" i="12"/>
  <c r="G1808" i="12"/>
  <c r="F1808" i="12"/>
  <c r="E1808" i="12"/>
  <c r="D1808" i="12"/>
  <c r="C1808" i="12"/>
  <c r="B1808" i="12"/>
  <c r="A1808" i="12"/>
  <c r="G1807" i="12"/>
  <c r="F1807" i="12"/>
  <c r="E1807" i="12"/>
  <c r="D1807" i="12"/>
  <c r="C1807" i="12"/>
  <c r="B1807" i="12"/>
  <c r="A1807" i="12"/>
  <c r="G1806" i="12"/>
  <c r="F1806" i="12"/>
  <c r="E1806" i="12"/>
  <c r="D1806" i="12"/>
  <c r="C1806" i="12"/>
  <c r="B1806" i="12"/>
  <c r="A1806" i="12"/>
  <c r="G1805" i="12"/>
  <c r="F1805" i="12"/>
  <c r="E1805" i="12"/>
  <c r="D1805" i="12"/>
  <c r="C1805" i="12"/>
  <c r="B1805" i="12"/>
  <c r="A1805" i="12"/>
  <c r="G1804" i="12"/>
  <c r="F1804" i="12"/>
  <c r="E1804" i="12"/>
  <c r="D1804" i="12"/>
  <c r="C1804" i="12"/>
  <c r="B1804" i="12"/>
  <c r="A1804" i="12"/>
  <c r="G1803" i="12"/>
  <c r="F1803" i="12"/>
  <c r="E1803" i="12"/>
  <c r="D1803" i="12"/>
  <c r="C1803" i="12"/>
  <c r="B1803" i="12"/>
  <c r="A1803" i="12"/>
  <c r="G1802" i="12"/>
  <c r="F1802" i="12"/>
  <c r="E1802" i="12"/>
  <c r="D1802" i="12"/>
  <c r="C1802" i="12"/>
  <c r="B1802" i="12"/>
  <c r="A1802" i="12"/>
  <c r="G1801" i="12"/>
  <c r="F1801" i="12"/>
  <c r="E1801" i="12"/>
  <c r="D1801" i="12"/>
  <c r="C1801" i="12"/>
  <c r="B1801" i="12"/>
  <c r="A1801" i="12"/>
  <c r="G1800" i="12"/>
  <c r="F1800" i="12"/>
  <c r="E1800" i="12"/>
  <c r="D1800" i="12"/>
  <c r="C1800" i="12"/>
  <c r="B1800" i="12"/>
  <c r="A1800" i="12"/>
  <c r="G1799" i="12"/>
  <c r="F1799" i="12"/>
  <c r="E1799" i="12"/>
  <c r="D1799" i="12"/>
  <c r="C1799" i="12"/>
  <c r="B1799" i="12"/>
  <c r="A1799" i="12"/>
  <c r="G1798" i="12"/>
  <c r="F1798" i="12"/>
  <c r="E1798" i="12"/>
  <c r="D1798" i="12"/>
  <c r="C1798" i="12"/>
  <c r="B1798" i="12"/>
  <c r="A1798" i="12"/>
  <c r="G1797" i="12"/>
  <c r="F1797" i="12"/>
  <c r="E1797" i="12"/>
  <c r="D1797" i="12"/>
  <c r="C1797" i="12"/>
  <c r="B1797" i="12"/>
  <c r="A1797" i="12"/>
  <c r="G1796" i="12"/>
  <c r="F1796" i="12"/>
  <c r="E1796" i="12"/>
  <c r="D1796" i="12"/>
  <c r="C1796" i="12"/>
  <c r="B1796" i="12"/>
  <c r="A1796" i="12"/>
  <c r="G1795" i="12"/>
  <c r="F1795" i="12"/>
  <c r="E1795" i="12"/>
  <c r="D1795" i="12"/>
  <c r="C1795" i="12"/>
  <c r="B1795" i="12"/>
  <c r="A1795" i="12"/>
  <c r="G1794" i="12"/>
  <c r="F1794" i="12"/>
  <c r="E1794" i="12"/>
  <c r="D1794" i="12"/>
  <c r="C1794" i="12"/>
  <c r="B1794" i="12"/>
  <c r="A1794" i="12"/>
  <c r="G1793" i="12"/>
  <c r="F1793" i="12"/>
  <c r="E1793" i="12"/>
  <c r="D1793" i="12"/>
  <c r="C1793" i="12"/>
  <c r="B1793" i="12"/>
  <c r="A1793" i="12"/>
  <c r="G1792" i="12"/>
  <c r="F1792" i="12"/>
  <c r="E1792" i="12"/>
  <c r="D1792" i="12"/>
  <c r="C1792" i="12"/>
  <c r="B1792" i="12"/>
  <c r="A1792" i="12"/>
  <c r="G1791" i="12"/>
  <c r="F1791" i="12"/>
  <c r="E1791" i="12"/>
  <c r="D1791" i="12"/>
  <c r="C1791" i="12"/>
  <c r="B1791" i="12"/>
  <c r="A1791" i="12"/>
  <c r="G1790" i="12"/>
  <c r="F1790" i="12"/>
  <c r="E1790" i="12"/>
  <c r="D1790" i="12"/>
  <c r="C1790" i="12"/>
  <c r="B1790" i="12"/>
  <c r="A1790" i="12"/>
  <c r="G1789" i="12"/>
  <c r="F1789" i="12"/>
  <c r="E1789" i="12"/>
  <c r="D1789" i="12"/>
  <c r="C1789" i="12"/>
  <c r="B1789" i="12"/>
  <c r="A1789" i="12"/>
  <c r="G1788" i="12"/>
  <c r="F1788" i="12"/>
  <c r="E1788" i="12"/>
  <c r="D1788" i="12"/>
  <c r="C1788" i="12"/>
  <c r="B1788" i="12"/>
  <c r="A1788" i="12"/>
  <c r="G1787" i="12"/>
  <c r="F1787" i="12"/>
  <c r="E1787" i="12"/>
  <c r="D1787" i="12"/>
  <c r="C1787" i="12"/>
  <c r="B1787" i="12"/>
  <c r="A1787" i="12"/>
  <c r="G1786" i="12"/>
  <c r="F1786" i="12"/>
  <c r="E1786" i="12"/>
  <c r="D1786" i="12"/>
  <c r="C1786" i="12"/>
  <c r="B1786" i="12"/>
  <c r="A1786" i="12"/>
  <c r="G1785" i="12"/>
  <c r="F1785" i="12"/>
  <c r="E1785" i="12"/>
  <c r="D1785" i="12"/>
  <c r="C1785" i="12"/>
  <c r="B1785" i="12"/>
  <c r="A1785" i="12"/>
  <c r="G1784" i="12"/>
  <c r="F1784" i="12"/>
  <c r="E1784" i="12"/>
  <c r="D1784" i="12"/>
  <c r="C1784" i="12"/>
  <c r="B1784" i="12"/>
  <c r="A1784" i="12"/>
  <c r="G1783" i="12"/>
  <c r="F1783" i="12"/>
  <c r="E1783" i="12"/>
  <c r="D1783" i="12"/>
  <c r="C1783" i="12"/>
  <c r="B1783" i="12"/>
  <c r="A1783" i="12"/>
  <c r="G1782" i="12"/>
  <c r="F1782" i="12"/>
  <c r="E1782" i="12"/>
  <c r="D1782" i="12"/>
  <c r="C1782" i="12"/>
  <c r="B1782" i="12"/>
  <c r="A1782" i="12"/>
  <c r="G1781" i="12"/>
  <c r="F1781" i="12"/>
  <c r="E1781" i="12"/>
  <c r="D1781" i="12"/>
  <c r="C1781" i="12"/>
  <c r="B1781" i="12"/>
  <c r="A1781" i="12"/>
  <c r="G1780" i="12"/>
  <c r="F1780" i="12"/>
  <c r="E1780" i="12"/>
  <c r="D1780" i="12"/>
  <c r="C1780" i="12"/>
  <c r="B1780" i="12"/>
  <c r="A1780" i="12"/>
  <c r="G1779" i="12"/>
  <c r="F1779" i="12"/>
  <c r="E1779" i="12"/>
  <c r="D1779" i="12"/>
  <c r="C1779" i="12"/>
  <c r="B1779" i="12"/>
  <c r="A1779" i="12"/>
  <c r="G1778" i="12"/>
  <c r="F1778" i="12"/>
  <c r="E1778" i="12"/>
  <c r="D1778" i="12"/>
  <c r="C1778" i="12"/>
  <c r="B1778" i="12"/>
  <c r="A1778" i="12"/>
  <c r="G1777" i="12"/>
  <c r="F1777" i="12"/>
  <c r="E1777" i="12"/>
  <c r="D1777" i="12"/>
  <c r="C1777" i="12"/>
  <c r="B1777" i="12"/>
  <c r="A1777" i="12"/>
  <c r="G1776" i="12"/>
  <c r="F1776" i="12"/>
  <c r="E1776" i="12"/>
  <c r="D1776" i="12"/>
  <c r="C1776" i="12"/>
  <c r="B1776" i="12"/>
  <c r="A1776" i="12"/>
  <c r="G1775" i="12"/>
  <c r="F1775" i="12"/>
  <c r="E1775" i="12"/>
  <c r="D1775" i="12"/>
  <c r="C1775" i="12"/>
  <c r="B1775" i="12"/>
  <c r="A1775" i="12"/>
  <c r="G1774" i="12"/>
  <c r="F1774" i="12"/>
  <c r="E1774" i="12"/>
  <c r="D1774" i="12"/>
  <c r="C1774" i="12"/>
  <c r="B1774" i="12"/>
  <c r="A1774" i="12"/>
  <c r="G1773" i="12"/>
  <c r="F1773" i="12"/>
  <c r="E1773" i="12"/>
  <c r="D1773" i="12"/>
  <c r="C1773" i="12"/>
  <c r="B1773" i="12"/>
  <c r="A1773" i="12"/>
  <c r="G1772" i="12"/>
  <c r="F1772" i="12"/>
  <c r="E1772" i="12"/>
  <c r="D1772" i="12"/>
  <c r="C1772" i="12"/>
  <c r="B1772" i="12"/>
  <c r="A1772" i="12"/>
  <c r="G1771" i="12"/>
  <c r="F1771" i="12"/>
  <c r="E1771" i="12"/>
  <c r="D1771" i="12"/>
  <c r="C1771" i="12"/>
  <c r="B1771" i="12"/>
  <c r="A1771" i="12"/>
  <c r="G1770" i="12"/>
  <c r="F1770" i="12"/>
  <c r="E1770" i="12"/>
  <c r="D1770" i="12"/>
  <c r="C1770" i="12"/>
  <c r="B1770" i="12"/>
  <c r="A1770" i="12"/>
  <c r="G1769" i="12"/>
  <c r="F1769" i="12"/>
  <c r="E1769" i="12"/>
  <c r="D1769" i="12"/>
  <c r="C1769" i="12"/>
  <c r="B1769" i="12"/>
  <c r="A1769" i="12"/>
  <c r="G1768" i="12"/>
  <c r="F1768" i="12"/>
  <c r="E1768" i="12"/>
  <c r="D1768" i="12"/>
  <c r="C1768" i="12"/>
  <c r="B1768" i="12"/>
  <c r="A1768" i="12"/>
  <c r="G1767" i="12"/>
  <c r="F1767" i="12"/>
  <c r="E1767" i="12"/>
  <c r="D1767" i="12"/>
  <c r="C1767" i="12"/>
  <c r="B1767" i="12"/>
  <c r="A1767" i="12"/>
  <c r="G1766" i="12"/>
  <c r="F1766" i="12"/>
  <c r="E1766" i="12"/>
  <c r="D1766" i="12"/>
  <c r="C1766" i="12"/>
  <c r="B1766" i="12"/>
  <c r="A1766" i="12"/>
  <c r="G1765" i="12"/>
  <c r="F1765" i="12"/>
  <c r="E1765" i="12"/>
  <c r="D1765" i="12"/>
  <c r="C1765" i="12"/>
  <c r="B1765" i="12"/>
  <c r="A1765" i="12"/>
  <c r="G1764" i="12"/>
  <c r="F1764" i="12"/>
  <c r="E1764" i="12"/>
  <c r="D1764" i="12"/>
  <c r="C1764" i="12"/>
  <c r="B1764" i="12"/>
  <c r="A1764" i="12"/>
  <c r="G1763" i="12"/>
  <c r="F1763" i="12"/>
  <c r="E1763" i="12"/>
  <c r="D1763" i="12"/>
  <c r="C1763" i="12"/>
  <c r="B1763" i="12"/>
  <c r="A1763" i="12"/>
  <c r="G1762" i="12"/>
  <c r="F1762" i="12"/>
  <c r="E1762" i="12"/>
  <c r="D1762" i="12"/>
  <c r="C1762" i="12"/>
  <c r="B1762" i="12"/>
  <c r="A1762" i="12"/>
  <c r="G1761" i="12"/>
  <c r="F1761" i="12"/>
  <c r="E1761" i="12"/>
  <c r="D1761" i="12"/>
  <c r="C1761" i="12"/>
  <c r="B1761" i="12"/>
  <c r="A1761" i="12"/>
  <c r="G1760" i="12"/>
  <c r="F1760" i="12"/>
  <c r="E1760" i="12"/>
  <c r="D1760" i="12"/>
  <c r="C1760" i="12"/>
  <c r="B1760" i="12"/>
  <c r="A1760" i="12"/>
  <c r="G1759" i="12"/>
  <c r="F1759" i="12"/>
  <c r="E1759" i="12"/>
  <c r="D1759" i="12"/>
  <c r="C1759" i="12"/>
  <c r="B1759" i="12"/>
  <c r="A1759" i="12"/>
  <c r="G1758" i="12"/>
  <c r="F1758" i="12"/>
  <c r="E1758" i="12"/>
  <c r="D1758" i="12"/>
  <c r="C1758" i="12"/>
  <c r="B1758" i="12"/>
  <c r="A1758" i="12"/>
  <c r="G1757" i="12"/>
  <c r="F1757" i="12"/>
  <c r="E1757" i="12"/>
  <c r="D1757" i="12"/>
  <c r="C1757" i="12"/>
  <c r="B1757" i="12"/>
  <c r="A1757" i="12"/>
  <c r="G1756" i="12"/>
  <c r="F1756" i="12"/>
  <c r="E1756" i="12"/>
  <c r="D1756" i="12"/>
  <c r="C1756" i="12"/>
  <c r="B1756" i="12"/>
  <c r="A1756" i="12"/>
  <c r="G1755" i="12"/>
  <c r="F1755" i="12"/>
  <c r="E1755" i="12"/>
  <c r="D1755" i="12"/>
  <c r="C1755" i="12"/>
  <c r="B1755" i="12"/>
  <c r="A1755" i="12"/>
  <c r="G1754" i="12"/>
  <c r="F1754" i="12"/>
  <c r="E1754" i="12"/>
  <c r="D1754" i="12"/>
  <c r="C1754" i="12"/>
  <c r="B1754" i="12"/>
  <c r="A1754" i="12"/>
  <c r="G1753" i="12"/>
  <c r="F1753" i="12"/>
  <c r="E1753" i="12"/>
  <c r="D1753" i="12"/>
  <c r="C1753" i="12"/>
  <c r="B1753" i="12"/>
  <c r="A1753" i="12"/>
  <c r="G1752" i="12"/>
  <c r="F1752" i="12"/>
  <c r="E1752" i="12"/>
  <c r="D1752" i="12"/>
  <c r="C1752" i="12"/>
  <c r="B1752" i="12"/>
  <c r="A1752" i="12"/>
  <c r="G1751" i="12"/>
  <c r="F1751" i="12"/>
  <c r="E1751" i="12"/>
  <c r="D1751" i="12"/>
  <c r="C1751" i="12"/>
  <c r="B1751" i="12"/>
  <c r="A1751" i="12"/>
  <c r="G1750" i="12"/>
  <c r="F1750" i="12"/>
  <c r="E1750" i="12"/>
  <c r="D1750" i="12"/>
  <c r="C1750" i="12"/>
  <c r="B1750" i="12"/>
  <c r="A1750" i="12"/>
  <c r="G1749" i="12"/>
  <c r="F1749" i="12"/>
  <c r="E1749" i="12"/>
  <c r="D1749" i="12"/>
  <c r="C1749" i="12"/>
  <c r="B1749" i="12"/>
  <c r="A1749" i="12"/>
  <c r="G1748" i="12"/>
  <c r="F1748" i="12"/>
  <c r="E1748" i="12"/>
  <c r="D1748" i="12"/>
  <c r="C1748" i="12"/>
  <c r="B1748" i="12"/>
  <c r="A1748" i="12"/>
  <c r="G1747" i="12"/>
  <c r="F1747" i="12"/>
  <c r="E1747" i="12"/>
  <c r="D1747" i="12"/>
  <c r="C1747" i="12"/>
  <c r="B1747" i="12"/>
  <c r="A1747" i="12"/>
  <c r="G1746" i="12"/>
  <c r="F1746" i="12"/>
  <c r="E1746" i="12"/>
  <c r="D1746" i="12"/>
  <c r="C1746" i="12"/>
  <c r="B1746" i="12"/>
  <c r="A1746" i="12"/>
  <c r="G1745" i="12"/>
  <c r="F1745" i="12"/>
  <c r="E1745" i="12"/>
  <c r="D1745" i="12"/>
  <c r="C1745" i="12"/>
  <c r="B1745" i="12"/>
  <c r="A1745" i="12"/>
  <c r="G1744" i="12"/>
  <c r="F1744" i="12"/>
  <c r="E1744" i="12"/>
  <c r="D1744" i="12"/>
  <c r="C1744" i="12"/>
  <c r="B1744" i="12"/>
  <c r="A1744" i="12"/>
  <c r="G1743" i="12"/>
  <c r="F1743" i="12"/>
  <c r="E1743" i="12"/>
  <c r="D1743" i="12"/>
  <c r="C1743" i="12"/>
  <c r="B1743" i="12"/>
  <c r="A1743" i="12"/>
  <c r="G1742" i="12"/>
  <c r="F1742" i="12"/>
  <c r="E1742" i="12"/>
  <c r="D1742" i="12"/>
  <c r="C1742" i="12"/>
  <c r="B1742" i="12"/>
  <c r="A1742" i="12"/>
  <c r="G1741" i="12"/>
  <c r="F1741" i="12"/>
  <c r="E1741" i="12"/>
  <c r="D1741" i="12"/>
  <c r="C1741" i="12"/>
  <c r="B1741" i="12"/>
  <c r="A1741" i="12"/>
  <c r="G1740" i="12"/>
  <c r="F1740" i="12"/>
  <c r="E1740" i="12"/>
  <c r="D1740" i="12"/>
  <c r="C1740" i="12"/>
  <c r="B1740" i="12"/>
  <c r="A1740" i="12"/>
  <c r="G1739" i="12"/>
  <c r="F1739" i="12"/>
  <c r="E1739" i="12"/>
  <c r="D1739" i="12"/>
  <c r="C1739" i="12"/>
  <c r="B1739" i="12"/>
  <c r="A1739" i="12"/>
  <c r="G1738" i="12"/>
  <c r="F1738" i="12"/>
  <c r="E1738" i="12"/>
  <c r="D1738" i="12"/>
  <c r="C1738" i="12"/>
  <c r="B1738" i="12"/>
  <c r="A1738" i="12"/>
  <c r="G1737" i="12"/>
  <c r="F1737" i="12"/>
  <c r="E1737" i="12"/>
  <c r="D1737" i="12"/>
  <c r="C1737" i="12"/>
  <c r="B1737" i="12"/>
  <c r="A1737" i="12"/>
  <c r="G1736" i="12"/>
  <c r="F1736" i="12"/>
  <c r="E1736" i="12"/>
  <c r="D1736" i="12"/>
  <c r="C1736" i="12"/>
  <c r="B1736" i="12"/>
  <c r="A1736" i="12"/>
  <c r="G1735" i="12"/>
  <c r="F1735" i="12"/>
  <c r="E1735" i="12"/>
  <c r="D1735" i="12"/>
  <c r="C1735" i="12"/>
  <c r="B1735" i="12"/>
  <c r="A1735" i="12"/>
  <c r="G1734" i="12"/>
  <c r="F1734" i="12"/>
  <c r="E1734" i="12"/>
  <c r="D1734" i="12"/>
  <c r="C1734" i="12"/>
  <c r="B1734" i="12"/>
  <c r="A1734" i="12"/>
  <c r="G1733" i="12"/>
  <c r="F1733" i="12"/>
  <c r="E1733" i="12"/>
  <c r="D1733" i="12"/>
  <c r="C1733" i="12"/>
  <c r="B1733" i="12"/>
  <c r="A1733" i="12"/>
  <c r="G1732" i="12"/>
  <c r="F1732" i="12"/>
  <c r="E1732" i="12"/>
  <c r="D1732" i="12"/>
  <c r="C1732" i="12"/>
  <c r="B1732" i="12"/>
  <c r="A1732" i="12"/>
  <c r="G1731" i="12"/>
  <c r="F1731" i="12"/>
  <c r="E1731" i="12"/>
  <c r="D1731" i="12"/>
  <c r="C1731" i="12"/>
  <c r="B1731" i="12"/>
  <c r="A1731" i="12"/>
  <c r="G1730" i="12"/>
  <c r="F1730" i="12"/>
  <c r="E1730" i="12"/>
  <c r="D1730" i="12"/>
  <c r="C1730" i="12"/>
  <c r="B1730" i="12"/>
  <c r="A1730" i="12"/>
  <c r="G1729" i="12"/>
  <c r="F1729" i="12"/>
  <c r="E1729" i="12"/>
  <c r="D1729" i="12"/>
  <c r="C1729" i="12"/>
  <c r="B1729" i="12"/>
  <c r="A1729" i="12"/>
  <c r="G1728" i="12"/>
  <c r="F1728" i="12"/>
  <c r="E1728" i="12"/>
  <c r="D1728" i="12"/>
  <c r="C1728" i="12"/>
  <c r="B1728" i="12"/>
  <c r="A1728" i="12"/>
  <c r="G1727" i="12"/>
  <c r="F1727" i="12"/>
  <c r="E1727" i="12"/>
  <c r="D1727" i="12"/>
  <c r="C1727" i="12"/>
  <c r="B1727" i="12"/>
  <c r="A1727" i="12"/>
  <c r="G1726" i="12"/>
  <c r="F1726" i="12"/>
  <c r="E1726" i="12"/>
  <c r="D1726" i="12"/>
  <c r="C1726" i="12"/>
  <c r="B1726" i="12"/>
  <c r="A1726" i="12"/>
  <c r="G1725" i="12"/>
  <c r="F1725" i="12"/>
  <c r="E1725" i="12"/>
  <c r="D1725" i="12"/>
  <c r="C1725" i="12"/>
  <c r="B1725" i="12"/>
  <c r="A1725" i="12"/>
  <c r="G1724" i="12"/>
  <c r="F1724" i="12"/>
  <c r="E1724" i="12"/>
  <c r="D1724" i="12"/>
  <c r="C1724" i="12"/>
  <c r="B1724" i="12"/>
  <c r="A1724" i="12"/>
  <c r="G1723" i="12"/>
  <c r="F1723" i="12"/>
  <c r="E1723" i="12"/>
  <c r="D1723" i="12"/>
  <c r="C1723" i="12"/>
  <c r="B1723" i="12"/>
  <c r="A1723" i="12"/>
  <c r="G1722" i="12"/>
  <c r="F1722" i="12"/>
  <c r="E1722" i="12"/>
  <c r="D1722" i="12"/>
  <c r="C1722" i="12"/>
  <c r="B1722" i="12"/>
  <c r="A1722" i="12"/>
  <c r="G1721" i="12"/>
  <c r="F1721" i="12"/>
  <c r="E1721" i="12"/>
  <c r="D1721" i="12"/>
  <c r="C1721" i="12"/>
  <c r="B1721" i="12"/>
  <c r="A1721" i="12"/>
  <c r="G1720" i="12"/>
  <c r="F1720" i="12"/>
  <c r="E1720" i="12"/>
  <c r="D1720" i="12"/>
  <c r="C1720" i="12"/>
  <c r="B1720" i="12"/>
  <c r="A1720" i="12"/>
  <c r="G1719" i="12"/>
  <c r="F1719" i="12"/>
  <c r="E1719" i="12"/>
  <c r="D1719" i="12"/>
  <c r="C1719" i="12"/>
  <c r="B1719" i="12"/>
  <c r="A1719" i="12"/>
  <c r="G1718" i="12"/>
  <c r="F1718" i="12"/>
  <c r="E1718" i="12"/>
  <c r="D1718" i="12"/>
  <c r="C1718" i="12"/>
  <c r="B1718" i="12"/>
  <c r="A1718" i="12"/>
  <c r="G1717" i="12"/>
  <c r="F1717" i="12"/>
  <c r="E1717" i="12"/>
  <c r="D1717" i="12"/>
  <c r="C1717" i="12"/>
  <c r="B1717" i="12"/>
  <c r="A1717" i="12"/>
  <c r="G1716" i="12"/>
  <c r="F1716" i="12"/>
  <c r="E1716" i="12"/>
  <c r="D1716" i="12"/>
  <c r="C1716" i="12"/>
  <c r="B1716" i="12"/>
  <c r="A1716" i="12"/>
  <c r="G1715" i="12"/>
  <c r="F1715" i="12"/>
  <c r="E1715" i="12"/>
  <c r="D1715" i="12"/>
  <c r="C1715" i="12"/>
  <c r="B1715" i="12"/>
  <c r="A1715" i="12"/>
  <c r="G1714" i="12"/>
  <c r="F1714" i="12"/>
  <c r="E1714" i="12"/>
  <c r="D1714" i="12"/>
  <c r="C1714" i="12"/>
  <c r="B1714" i="12"/>
  <c r="A1714" i="12"/>
  <c r="G1713" i="12"/>
  <c r="F1713" i="12"/>
  <c r="E1713" i="12"/>
  <c r="D1713" i="12"/>
  <c r="C1713" i="12"/>
  <c r="B1713" i="12"/>
  <c r="A1713" i="12"/>
  <c r="G1712" i="12"/>
  <c r="F1712" i="12"/>
  <c r="E1712" i="12"/>
  <c r="D1712" i="12"/>
  <c r="C1712" i="12"/>
  <c r="B1712" i="12"/>
  <c r="A1712" i="12"/>
  <c r="G1711" i="12"/>
  <c r="F1711" i="12"/>
  <c r="E1711" i="12"/>
  <c r="D1711" i="12"/>
  <c r="C1711" i="12"/>
  <c r="B1711" i="12"/>
  <c r="A1711" i="12"/>
  <c r="G1710" i="12"/>
  <c r="F1710" i="12"/>
  <c r="E1710" i="12"/>
  <c r="D1710" i="12"/>
  <c r="C1710" i="12"/>
  <c r="B1710" i="12"/>
  <c r="A1710" i="12"/>
  <c r="G1709" i="12"/>
  <c r="F1709" i="12"/>
  <c r="E1709" i="12"/>
  <c r="D1709" i="12"/>
  <c r="C1709" i="12"/>
  <c r="B1709" i="12"/>
  <c r="A1709" i="12"/>
  <c r="G1708" i="12"/>
  <c r="F1708" i="12"/>
  <c r="E1708" i="12"/>
  <c r="D1708" i="12"/>
  <c r="C1708" i="12"/>
  <c r="B1708" i="12"/>
  <c r="A1708" i="12"/>
  <c r="G1707" i="12"/>
  <c r="F1707" i="12"/>
  <c r="E1707" i="12"/>
  <c r="D1707" i="12"/>
  <c r="C1707" i="12"/>
  <c r="B1707" i="12"/>
  <c r="A1707" i="12"/>
  <c r="G1706" i="12"/>
  <c r="F1706" i="12"/>
  <c r="E1706" i="12"/>
  <c r="D1706" i="12"/>
  <c r="C1706" i="12"/>
  <c r="B1706" i="12"/>
  <c r="A1706" i="12"/>
  <c r="G1705" i="12"/>
  <c r="F1705" i="12"/>
  <c r="E1705" i="12"/>
  <c r="D1705" i="12"/>
  <c r="C1705" i="12"/>
  <c r="B1705" i="12"/>
  <c r="A1705" i="12"/>
  <c r="G1704" i="12"/>
  <c r="F1704" i="12"/>
  <c r="E1704" i="12"/>
  <c r="D1704" i="12"/>
  <c r="C1704" i="12"/>
  <c r="B1704" i="12"/>
  <c r="A1704" i="12"/>
  <c r="G1703" i="12"/>
  <c r="F1703" i="12"/>
  <c r="E1703" i="12"/>
  <c r="D1703" i="12"/>
  <c r="C1703" i="12"/>
  <c r="B1703" i="12"/>
  <c r="A1703" i="12"/>
  <c r="G1702" i="12"/>
  <c r="F1702" i="12"/>
  <c r="E1702" i="12"/>
  <c r="D1702" i="12"/>
  <c r="C1702" i="12"/>
  <c r="B1702" i="12"/>
  <c r="A1702" i="12"/>
  <c r="G1701" i="12"/>
  <c r="F1701" i="12"/>
  <c r="E1701" i="12"/>
  <c r="D1701" i="12"/>
  <c r="C1701" i="12"/>
  <c r="B1701" i="12"/>
  <c r="A1701" i="12"/>
  <c r="G1700" i="12"/>
  <c r="F1700" i="12"/>
  <c r="E1700" i="12"/>
  <c r="D1700" i="12"/>
  <c r="C1700" i="12"/>
  <c r="B1700" i="12"/>
  <c r="A1700" i="12"/>
  <c r="G1699" i="12"/>
  <c r="F1699" i="12"/>
  <c r="E1699" i="12"/>
  <c r="D1699" i="12"/>
  <c r="C1699" i="12"/>
  <c r="B1699" i="12"/>
  <c r="A1699" i="12"/>
  <c r="G1698" i="12"/>
  <c r="F1698" i="12"/>
  <c r="E1698" i="12"/>
  <c r="D1698" i="12"/>
  <c r="C1698" i="12"/>
  <c r="B1698" i="12"/>
  <c r="A1698" i="12"/>
  <c r="G1697" i="12"/>
  <c r="F1697" i="12"/>
  <c r="E1697" i="12"/>
  <c r="D1697" i="12"/>
  <c r="C1697" i="12"/>
  <c r="B1697" i="12"/>
  <c r="A1697" i="12"/>
  <c r="G1696" i="12"/>
  <c r="F1696" i="12"/>
  <c r="E1696" i="12"/>
  <c r="D1696" i="12"/>
  <c r="C1696" i="12"/>
  <c r="B1696" i="12"/>
  <c r="A1696" i="12"/>
  <c r="G1695" i="12"/>
  <c r="F1695" i="12"/>
  <c r="E1695" i="12"/>
  <c r="D1695" i="12"/>
  <c r="C1695" i="12"/>
  <c r="B1695" i="12"/>
  <c r="A1695" i="12"/>
  <c r="G1694" i="12"/>
  <c r="F1694" i="12"/>
  <c r="E1694" i="12"/>
  <c r="D1694" i="12"/>
  <c r="C1694" i="12"/>
  <c r="B1694" i="12"/>
  <c r="A1694" i="12"/>
  <c r="G1693" i="12"/>
  <c r="F1693" i="12"/>
  <c r="E1693" i="12"/>
  <c r="D1693" i="12"/>
  <c r="C1693" i="12"/>
  <c r="B1693" i="12"/>
  <c r="A1693" i="12"/>
  <c r="G1692" i="12"/>
  <c r="F1692" i="12"/>
  <c r="E1692" i="12"/>
  <c r="D1692" i="12"/>
  <c r="C1692" i="12"/>
  <c r="B1692" i="12"/>
  <c r="A1692" i="12"/>
  <c r="G1691" i="12"/>
  <c r="F1691" i="12"/>
  <c r="E1691" i="12"/>
  <c r="D1691" i="12"/>
  <c r="C1691" i="12"/>
  <c r="B1691" i="12"/>
  <c r="A1691" i="12"/>
  <c r="G1690" i="12"/>
  <c r="F1690" i="12"/>
  <c r="E1690" i="12"/>
  <c r="D1690" i="12"/>
  <c r="C1690" i="12"/>
  <c r="B1690" i="12"/>
  <c r="A1690" i="12"/>
  <c r="G1689" i="12"/>
  <c r="F1689" i="12"/>
  <c r="E1689" i="12"/>
  <c r="D1689" i="12"/>
  <c r="C1689" i="12"/>
  <c r="B1689" i="12"/>
  <c r="A1689" i="12"/>
  <c r="G1688" i="12"/>
  <c r="F1688" i="12"/>
  <c r="E1688" i="12"/>
  <c r="D1688" i="12"/>
  <c r="C1688" i="12"/>
  <c r="B1688" i="12"/>
  <c r="A1688" i="12"/>
  <c r="G1687" i="12"/>
  <c r="F1687" i="12"/>
  <c r="E1687" i="12"/>
  <c r="D1687" i="12"/>
  <c r="C1687" i="12"/>
  <c r="B1687" i="12"/>
  <c r="A1687" i="12"/>
  <c r="G1686" i="12"/>
  <c r="F1686" i="12"/>
  <c r="E1686" i="12"/>
  <c r="D1686" i="12"/>
  <c r="C1686" i="12"/>
  <c r="B1686" i="12"/>
  <c r="A1686" i="12"/>
  <c r="G1685" i="12"/>
  <c r="F1685" i="12"/>
  <c r="E1685" i="12"/>
  <c r="D1685" i="12"/>
  <c r="C1685" i="12"/>
  <c r="B1685" i="12"/>
  <c r="A1685" i="12"/>
  <c r="G1684" i="12"/>
  <c r="F1684" i="12"/>
  <c r="E1684" i="12"/>
  <c r="D1684" i="12"/>
  <c r="C1684" i="12"/>
  <c r="B1684" i="12"/>
  <c r="A1684" i="12"/>
  <c r="G1683" i="12"/>
  <c r="F1683" i="12"/>
  <c r="E1683" i="12"/>
  <c r="D1683" i="12"/>
  <c r="C1683" i="12"/>
  <c r="B1683" i="12"/>
  <c r="A1683" i="12"/>
  <c r="G1682" i="12"/>
  <c r="F1682" i="12"/>
  <c r="E1682" i="12"/>
  <c r="D1682" i="12"/>
  <c r="C1682" i="12"/>
  <c r="B1682" i="12"/>
  <c r="A1682" i="12"/>
  <c r="G1681" i="12"/>
  <c r="F1681" i="12"/>
  <c r="E1681" i="12"/>
  <c r="D1681" i="12"/>
  <c r="C1681" i="12"/>
  <c r="B1681" i="12"/>
  <c r="A1681" i="12"/>
  <c r="G1680" i="12"/>
  <c r="F1680" i="12"/>
  <c r="E1680" i="12"/>
  <c r="D1680" i="12"/>
  <c r="C1680" i="12"/>
  <c r="B1680" i="12"/>
  <c r="A1680" i="12"/>
  <c r="G1679" i="12"/>
  <c r="F1679" i="12"/>
  <c r="E1679" i="12"/>
  <c r="D1679" i="12"/>
  <c r="C1679" i="12"/>
  <c r="B1679" i="12"/>
  <c r="A1679" i="12"/>
  <c r="G1678" i="12"/>
  <c r="F1678" i="12"/>
  <c r="E1678" i="12"/>
  <c r="D1678" i="12"/>
  <c r="C1678" i="12"/>
  <c r="B1678" i="12"/>
  <c r="A1678" i="12"/>
  <c r="G1677" i="12"/>
  <c r="F1677" i="12"/>
  <c r="E1677" i="12"/>
  <c r="D1677" i="12"/>
  <c r="C1677" i="12"/>
  <c r="B1677" i="12"/>
  <c r="A1677" i="12"/>
  <c r="G1676" i="12"/>
  <c r="F1676" i="12"/>
  <c r="E1676" i="12"/>
  <c r="D1676" i="12"/>
  <c r="C1676" i="12"/>
  <c r="B1676" i="12"/>
  <c r="A1676" i="12"/>
  <c r="G1675" i="12"/>
  <c r="F1675" i="12"/>
  <c r="E1675" i="12"/>
  <c r="D1675" i="12"/>
  <c r="C1675" i="12"/>
  <c r="B1675" i="12"/>
  <c r="A1675" i="12"/>
  <c r="G1674" i="12"/>
  <c r="F1674" i="12"/>
  <c r="E1674" i="12"/>
  <c r="D1674" i="12"/>
  <c r="C1674" i="12"/>
  <c r="B1674" i="12"/>
  <c r="A1674" i="12"/>
  <c r="G1673" i="12"/>
  <c r="F1673" i="12"/>
  <c r="E1673" i="12"/>
  <c r="D1673" i="12"/>
  <c r="C1673" i="12"/>
  <c r="B1673" i="12"/>
  <c r="A1673" i="12"/>
  <c r="G1672" i="12"/>
  <c r="F1672" i="12"/>
  <c r="E1672" i="12"/>
  <c r="D1672" i="12"/>
  <c r="C1672" i="12"/>
  <c r="B1672" i="12"/>
  <c r="A1672" i="12"/>
  <c r="G1671" i="12"/>
  <c r="F1671" i="12"/>
  <c r="E1671" i="12"/>
  <c r="D1671" i="12"/>
  <c r="C1671" i="12"/>
  <c r="B1671" i="12"/>
  <c r="A1671" i="12"/>
  <c r="G1670" i="12"/>
  <c r="F1670" i="12"/>
  <c r="E1670" i="12"/>
  <c r="D1670" i="12"/>
  <c r="C1670" i="12"/>
  <c r="B1670" i="12"/>
  <c r="A1670" i="12"/>
  <c r="G1669" i="12"/>
  <c r="F1669" i="12"/>
  <c r="E1669" i="12"/>
  <c r="D1669" i="12"/>
  <c r="C1669" i="12"/>
  <c r="B1669" i="12"/>
  <c r="A1669" i="12"/>
  <c r="G1668" i="12"/>
  <c r="F1668" i="12"/>
  <c r="E1668" i="12"/>
  <c r="D1668" i="12"/>
  <c r="C1668" i="12"/>
  <c r="B1668" i="12"/>
  <c r="A1668" i="12"/>
  <c r="G1667" i="12"/>
  <c r="F1667" i="12"/>
  <c r="E1667" i="12"/>
  <c r="D1667" i="12"/>
  <c r="C1667" i="12"/>
  <c r="B1667" i="12"/>
  <c r="A1667" i="12"/>
  <c r="G1666" i="12"/>
  <c r="F1666" i="12"/>
  <c r="E1666" i="12"/>
  <c r="D1666" i="12"/>
  <c r="C1666" i="12"/>
  <c r="B1666" i="12"/>
  <c r="A1666" i="12"/>
  <c r="G1665" i="12"/>
  <c r="F1665" i="12"/>
  <c r="E1665" i="12"/>
  <c r="D1665" i="12"/>
  <c r="C1665" i="12"/>
  <c r="B1665" i="12"/>
  <c r="A1665" i="12"/>
  <c r="G1664" i="12"/>
  <c r="F1664" i="12"/>
  <c r="E1664" i="12"/>
  <c r="D1664" i="12"/>
  <c r="C1664" i="12"/>
  <c r="B1664" i="12"/>
  <c r="A1664" i="12"/>
  <c r="G1663" i="12"/>
  <c r="F1663" i="12"/>
  <c r="E1663" i="12"/>
  <c r="D1663" i="12"/>
  <c r="C1663" i="12"/>
  <c r="B1663" i="12"/>
  <c r="A1663" i="12"/>
  <c r="G1662" i="12"/>
  <c r="F1662" i="12"/>
  <c r="E1662" i="12"/>
  <c r="D1662" i="12"/>
  <c r="C1662" i="12"/>
  <c r="B1662" i="12"/>
  <c r="A1662" i="12"/>
  <c r="G1661" i="12"/>
  <c r="F1661" i="12"/>
  <c r="E1661" i="12"/>
  <c r="D1661" i="12"/>
  <c r="C1661" i="12"/>
  <c r="B1661" i="12"/>
  <c r="A1661" i="12"/>
  <c r="G1660" i="12"/>
  <c r="F1660" i="12"/>
  <c r="E1660" i="12"/>
  <c r="D1660" i="12"/>
  <c r="C1660" i="12"/>
  <c r="B1660" i="12"/>
  <c r="A1660" i="12"/>
  <c r="G1659" i="12"/>
  <c r="F1659" i="12"/>
  <c r="E1659" i="12"/>
  <c r="D1659" i="12"/>
  <c r="C1659" i="12"/>
  <c r="B1659" i="12"/>
  <c r="A1659" i="12"/>
  <c r="G1658" i="12"/>
  <c r="F1658" i="12"/>
  <c r="E1658" i="12"/>
  <c r="D1658" i="12"/>
  <c r="C1658" i="12"/>
  <c r="B1658" i="12"/>
  <c r="A1658" i="12"/>
  <c r="G1657" i="12"/>
  <c r="F1657" i="12"/>
  <c r="E1657" i="12"/>
  <c r="D1657" i="12"/>
  <c r="C1657" i="12"/>
  <c r="B1657" i="12"/>
  <c r="A1657" i="12"/>
  <c r="G1656" i="12"/>
  <c r="F1656" i="12"/>
  <c r="E1656" i="12"/>
  <c r="D1656" i="12"/>
  <c r="C1656" i="12"/>
  <c r="B1656" i="12"/>
  <c r="A1656" i="12"/>
  <c r="G1655" i="12"/>
  <c r="F1655" i="12"/>
  <c r="E1655" i="12"/>
  <c r="D1655" i="12"/>
  <c r="C1655" i="12"/>
  <c r="B1655" i="12"/>
  <c r="A1655" i="12"/>
  <c r="G1654" i="12"/>
  <c r="F1654" i="12"/>
  <c r="E1654" i="12"/>
  <c r="D1654" i="12"/>
  <c r="C1654" i="12"/>
  <c r="B1654" i="12"/>
  <c r="A1654" i="12"/>
  <c r="G1653" i="12"/>
  <c r="F1653" i="12"/>
  <c r="E1653" i="12"/>
  <c r="D1653" i="12"/>
  <c r="C1653" i="12"/>
  <c r="B1653" i="12"/>
  <c r="A1653" i="12"/>
  <c r="G1652" i="12"/>
  <c r="F1652" i="12"/>
  <c r="E1652" i="12"/>
  <c r="D1652" i="12"/>
  <c r="C1652" i="12"/>
  <c r="B1652" i="12"/>
  <c r="A1652" i="12"/>
  <c r="G1651" i="12"/>
  <c r="F1651" i="12"/>
  <c r="E1651" i="12"/>
  <c r="D1651" i="12"/>
  <c r="C1651" i="12"/>
  <c r="B1651" i="12"/>
  <c r="A1651" i="12"/>
  <c r="G1650" i="12"/>
  <c r="F1650" i="12"/>
  <c r="E1650" i="12"/>
  <c r="D1650" i="12"/>
  <c r="C1650" i="12"/>
  <c r="B1650" i="12"/>
  <c r="A1650" i="12"/>
  <c r="G1649" i="12"/>
  <c r="F1649" i="12"/>
  <c r="E1649" i="12"/>
  <c r="D1649" i="12"/>
  <c r="C1649" i="12"/>
  <c r="B1649" i="12"/>
  <c r="A1649" i="12"/>
  <c r="G1648" i="12"/>
  <c r="F1648" i="12"/>
  <c r="E1648" i="12"/>
  <c r="D1648" i="12"/>
  <c r="C1648" i="12"/>
  <c r="B1648" i="12"/>
  <c r="A1648" i="12"/>
  <c r="G1647" i="12"/>
  <c r="F1647" i="12"/>
  <c r="E1647" i="12"/>
  <c r="D1647" i="12"/>
  <c r="C1647" i="12"/>
  <c r="B1647" i="12"/>
  <c r="A1647" i="12"/>
  <c r="G1646" i="12"/>
  <c r="F1646" i="12"/>
  <c r="E1646" i="12"/>
  <c r="D1646" i="12"/>
  <c r="C1646" i="12"/>
  <c r="B1646" i="12"/>
  <c r="A1646" i="12"/>
  <c r="G1645" i="12"/>
  <c r="F1645" i="12"/>
  <c r="E1645" i="12"/>
  <c r="D1645" i="12"/>
  <c r="C1645" i="12"/>
  <c r="B1645" i="12"/>
  <c r="A1645" i="12"/>
  <c r="G1644" i="12"/>
  <c r="F1644" i="12"/>
  <c r="E1644" i="12"/>
  <c r="D1644" i="12"/>
  <c r="C1644" i="12"/>
  <c r="B1644" i="12"/>
  <c r="A1644" i="12"/>
  <c r="G1643" i="12"/>
  <c r="F1643" i="12"/>
  <c r="E1643" i="12"/>
  <c r="D1643" i="12"/>
  <c r="C1643" i="12"/>
  <c r="B1643" i="12"/>
  <c r="A1643" i="12"/>
  <c r="G1642" i="12"/>
  <c r="F1642" i="12"/>
  <c r="E1642" i="12"/>
  <c r="D1642" i="12"/>
  <c r="C1642" i="12"/>
  <c r="B1642" i="12"/>
  <c r="A1642" i="12"/>
  <c r="G1641" i="12"/>
  <c r="F1641" i="12"/>
  <c r="E1641" i="12"/>
  <c r="D1641" i="12"/>
  <c r="C1641" i="12"/>
  <c r="B1641" i="12"/>
  <c r="A1641" i="12"/>
  <c r="G1640" i="12"/>
  <c r="F1640" i="12"/>
  <c r="E1640" i="12"/>
  <c r="D1640" i="12"/>
  <c r="C1640" i="12"/>
  <c r="B1640" i="12"/>
  <c r="A1640" i="12"/>
  <c r="G1639" i="12"/>
  <c r="F1639" i="12"/>
  <c r="E1639" i="12"/>
  <c r="D1639" i="12"/>
  <c r="C1639" i="12"/>
  <c r="B1639" i="12"/>
  <c r="A1639" i="12"/>
  <c r="G1638" i="12"/>
  <c r="F1638" i="12"/>
  <c r="E1638" i="12"/>
  <c r="D1638" i="12"/>
  <c r="C1638" i="12"/>
  <c r="B1638" i="12"/>
  <c r="A1638" i="12"/>
  <c r="G1637" i="12"/>
  <c r="F1637" i="12"/>
  <c r="E1637" i="12"/>
  <c r="D1637" i="12"/>
  <c r="C1637" i="12"/>
  <c r="B1637" i="12"/>
  <c r="A1637" i="12"/>
  <c r="G1636" i="12"/>
  <c r="F1636" i="12"/>
  <c r="E1636" i="12"/>
  <c r="D1636" i="12"/>
  <c r="C1636" i="12"/>
  <c r="B1636" i="12"/>
  <c r="A1636" i="12"/>
  <c r="G1635" i="12"/>
  <c r="F1635" i="12"/>
  <c r="E1635" i="12"/>
  <c r="D1635" i="12"/>
  <c r="C1635" i="12"/>
  <c r="B1635" i="12"/>
  <c r="A1635" i="12"/>
  <c r="G1634" i="12"/>
  <c r="F1634" i="12"/>
  <c r="E1634" i="12"/>
  <c r="D1634" i="12"/>
  <c r="C1634" i="12"/>
  <c r="B1634" i="12"/>
  <c r="A1634" i="12"/>
  <c r="G1633" i="12"/>
  <c r="F1633" i="12"/>
  <c r="E1633" i="12"/>
  <c r="D1633" i="12"/>
  <c r="C1633" i="12"/>
  <c r="B1633" i="12"/>
  <c r="A1633" i="12"/>
  <c r="G1632" i="12"/>
  <c r="F1632" i="12"/>
  <c r="E1632" i="12"/>
  <c r="D1632" i="12"/>
  <c r="C1632" i="12"/>
  <c r="B1632" i="12"/>
  <c r="A1632" i="12"/>
  <c r="G1631" i="12"/>
  <c r="F1631" i="12"/>
  <c r="E1631" i="12"/>
  <c r="D1631" i="12"/>
  <c r="C1631" i="12"/>
  <c r="B1631" i="12"/>
  <c r="A1631" i="12"/>
  <c r="G1630" i="12"/>
  <c r="F1630" i="12"/>
  <c r="E1630" i="12"/>
  <c r="D1630" i="12"/>
  <c r="C1630" i="12"/>
  <c r="B1630" i="12"/>
  <c r="A1630" i="12"/>
  <c r="G1629" i="12"/>
  <c r="F1629" i="12"/>
  <c r="E1629" i="12"/>
  <c r="D1629" i="12"/>
  <c r="C1629" i="12"/>
  <c r="B1629" i="12"/>
  <c r="A1629" i="12"/>
  <c r="G1628" i="12"/>
  <c r="F1628" i="12"/>
  <c r="E1628" i="12"/>
  <c r="D1628" i="12"/>
  <c r="C1628" i="12"/>
  <c r="B1628" i="12"/>
  <c r="A1628" i="12"/>
  <c r="G1627" i="12"/>
  <c r="F1627" i="12"/>
  <c r="E1627" i="12"/>
  <c r="D1627" i="12"/>
  <c r="C1627" i="12"/>
  <c r="B1627" i="12"/>
  <c r="A1627" i="12"/>
  <c r="G1626" i="12"/>
  <c r="F1626" i="12"/>
  <c r="E1626" i="12"/>
  <c r="D1626" i="12"/>
  <c r="C1626" i="12"/>
  <c r="B1626" i="12"/>
  <c r="A1626" i="12"/>
  <c r="G1625" i="12"/>
  <c r="F1625" i="12"/>
  <c r="E1625" i="12"/>
  <c r="D1625" i="12"/>
  <c r="C1625" i="12"/>
  <c r="B1625" i="12"/>
  <c r="A1625" i="12"/>
  <c r="G1624" i="12"/>
  <c r="F1624" i="12"/>
  <c r="E1624" i="12"/>
  <c r="D1624" i="12"/>
  <c r="C1624" i="12"/>
  <c r="B1624" i="12"/>
  <c r="A1624" i="12"/>
  <c r="G1623" i="12"/>
  <c r="F1623" i="12"/>
  <c r="E1623" i="12"/>
  <c r="D1623" i="12"/>
  <c r="C1623" i="12"/>
  <c r="B1623" i="12"/>
  <c r="A1623" i="12"/>
  <c r="G1622" i="12"/>
  <c r="F1622" i="12"/>
  <c r="E1622" i="12"/>
  <c r="D1622" i="12"/>
  <c r="C1622" i="12"/>
  <c r="B1622" i="12"/>
  <c r="A1622" i="12"/>
  <c r="G1621" i="12"/>
  <c r="F1621" i="12"/>
  <c r="E1621" i="12"/>
  <c r="D1621" i="12"/>
  <c r="C1621" i="12"/>
  <c r="B1621" i="12"/>
  <c r="A1621" i="12"/>
  <c r="G1620" i="12"/>
  <c r="F1620" i="12"/>
  <c r="E1620" i="12"/>
  <c r="D1620" i="12"/>
  <c r="C1620" i="12"/>
  <c r="B1620" i="12"/>
  <c r="A1620" i="12"/>
  <c r="G1619" i="12"/>
  <c r="F1619" i="12"/>
  <c r="E1619" i="12"/>
  <c r="D1619" i="12"/>
  <c r="C1619" i="12"/>
  <c r="B1619" i="12"/>
  <c r="A1619" i="12"/>
  <c r="G1618" i="12"/>
  <c r="F1618" i="12"/>
  <c r="E1618" i="12"/>
  <c r="D1618" i="12"/>
  <c r="C1618" i="12"/>
  <c r="B1618" i="12"/>
  <c r="A1618" i="12"/>
  <c r="G1617" i="12"/>
  <c r="F1617" i="12"/>
  <c r="E1617" i="12"/>
  <c r="D1617" i="12"/>
  <c r="C1617" i="12"/>
  <c r="B1617" i="12"/>
  <c r="A1617" i="12"/>
  <c r="G1616" i="12"/>
  <c r="F1616" i="12"/>
  <c r="E1616" i="12"/>
  <c r="D1616" i="12"/>
  <c r="C1616" i="12"/>
  <c r="B1616" i="12"/>
  <c r="A1616" i="12"/>
  <c r="G1615" i="12"/>
  <c r="F1615" i="12"/>
  <c r="E1615" i="12"/>
  <c r="D1615" i="12"/>
  <c r="C1615" i="12"/>
  <c r="B1615" i="12"/>
  <c r="A1615" i="12"/>
  <c r="G1614" i="12"/>
  <c r="F1614" i="12"/>
  <c r="E1614" i="12"/>
  <c r="D1614" i="12"/>
  <c r="C1614" i="12"/>
  <c r="B1614" i="12"/>
  <c r="A1614" i="12"/>
  <c r="G1613" i="12"/>
  <c r="F1613" i="12"/>
  <c r="E1613" i="12"/>
  <c r="D1613" i="12"/>
  <c r="C1613" i="12"/>
  <c r="B1613" i="12"/>
  <c r="A1613" i="12"/>
  <c r="G1612" i="12"/>
  <c r="F1612" i="12"/>
  <c r="E1612" i="12"/>
  <c r="D1612" i="12"/>
  <c r="C1612" i="12"/>
  <c r="B1612" i="12"/>
  <c r="A1612" i="12"/>
  <c r="G1611" i="12"/>
  <c r="F1611" i="12"/>
  <c r="E1611" i="12"/>
  <c r="D1611" i="12"/>
  <c r="C1611" i="12"/>
  <c r="B1611" i="12"/>
  <c r="A1611" i="12"/>
  <c r="G1610" i="12"/>
  <c r="F1610" i="12"/>
  <c r="E1610" i="12"/>
  <c r="D1610" i="12"/>
  <c r="C1610" i="12"/>
  <c r="B1610" i="12"/>
  <c r="A1610" i="12"/>
  <c r="G1609" i="12"/>
  <c r="F1609" i="12"/>
  <c r="E1609" i="12"/>
  <c r="D1609" i="12"/>
  <c r="C1609" i="12"/>
  <c r="B1609" i="12"/>
  <c r="A1609" i="12"/>
  <c r="G1608" i="12"/>
  <c r="F1608" i="12"/>
  <c r="E1608" i="12"/>
  <c r="D1608" i="12"/>
  <c r="C1608" i="12"/>
  <c r="B1608" i="12"/>
  <c r="A1608" i="12"/>
  <c r="G1607" i="12"/>
  <c r="F1607" i="12"/>
  <c r="E1607" i="12"/>
  <c r="D1607" i="12"/>
  <c r="C1607" i="12"/>
  <c r="B1607" i="12"/>
  <c r="A1607" i="12"/>
  <c r="G1606" i="12"/>
  <c r="F1606" i="12"/>
  <c r="E1606" i="12"/>
  <c r="D1606" i="12"/>
  <c r="C1606" i="12"/>
  <c r="B1606" i="12"/>
  <c r="A1606" i="12"/>
  <c r="G1605" i="12"/>
  <c r="F1605" i="12"/>
  <c r="E1605" i="12"/>
  <c r="D1605" i="12"/>
  <c r="C1605" i="12"/>
  <c r="B1605" i="12"/>
  <c r="A1605" i="12"/>
  <c r="G1604" i="12"/>
  <c r="F1604" i="12"/>
  <c r="E1604" i="12"/>
  <c r="D1604" i="12"/>
  <c r="C1604" i="12"/>
  <c r="B1604" i="12"/>
  <c r="A1604" i="12"/>
  <c r="G1603" i="12"/>
  <c r="F1603" i="12"/>
  <c r="E1603" i="12"/>
  <c r="D1603" i="12"/>
  <c r="C1603" i="12"/>
  <c r="B1603" i="12"/>
  <c r="A1603" i="12"/>
  <c r="G1602" i="12"/>
  <c r="F1602" i="12"/>
  <c r="E1602" i="12"/>
  <c r="D1602" i="12"/>
  <c r="C1602" i="12"/>
  <c r="B1602" i="12"/>
  <c r="A1602" i="12"/>
  <c r="G1601" i="12"/>
  <c r="F1601" i="12"/>
  <c r="E1601" i="12"/>
  <c r="D1601" i="12"/>
  <c r="C1601" i="12"/>
  <c r="B1601" i="12"/>
  <c r="A1601" i="12"/>
  <c r="G1600" i="12"/>
  <c r="F1600" i="12"/>
  <c r="E1600" i="12"/>
  <c r="D1600" i="12"/>
  <c r="C1600" i="12"/>
  <c r="B1600" i="12"/>
  <c r="A1600" i="12"/>
  <c r="G1599" i="12"/>
  <c r="F1599" i="12"/>
  <c r="E1599" i="12"/>
  <c r="D1599" i="12"/>
  <c r="C1599" i="12"/>
  <c r="B1599" i="12"/>
  <c r="A1599" i="12"/>
  <c r="G1598" i="12"/>
  <c r="F1598" i="12"/>
  <c r="E1598" i="12"/>
  <c r="D1598" i="12"/>
  <c r="C1598" i="12"/>
  <c r="B1598" i="12"/>
  <c r="A1598" i="12"/>
  <c r="G1597" i="12"/>
  <c r="F1597" i="12"/>
  <c r="E1597" i="12"/>
  <c r="D1597" i="12"/>
  <c r="C1597" i="12"/>
  <c r="B1597" i="12"/>
  <c r="A1597" i="12"/>
  <c r="G1596" i="12"/>
  <c r="F1596" i="12"/>
  <c r="E1596" i="12"/>
  <c r="D1596" i="12"/>
  <c r="C1596" i="12"/>
  <c r="B1596" i="12"/>
  <c r="A1596" i="12"/>
  <c r="G1595" i="12"/>
  <c r="F1595" i="12"/>
  <c r="E1595" i="12"/>
  <c r="D1595" i="12"/>
  <c r="C1595" i="12"/>
  <c r="B1595" i="12"/>
  <c r="A1595" i="12"/>
  <c r="G1594" i="12"/>
  <c r="F1594" i="12"/>
  <c r="E1594" i="12"/>
  <c r="D1594" i="12"/>
  <c r="C1594" i="12"/>
  <c r="B1594" i="12"/>
  <c r="A1594" i="12"/>
  <c r="G1593" i="12"/>
  <c r="F1593" i="12"/>
  <c r="E1593" i="12"/>
  <c r="D1593" i="12"/>
  <c r="C1593" i="12"/>
  <c r="B1593" i="12"/>
  <c r="A1593" i="12"/>
  <c r="G1592" i="12"/>
  <c r="F1592" i="12"/>
  <c r="E1592" i="12"/>
  <c r="D1592" i="12"/>
  <c r="C1592" i="12"/>
  <c r="B1592" i="12"/>
  <c r="A1592" i="12"/>
  <c r="G1591" i="12"/>
  <c r="F1591" i="12"/>
  <c r="E1591" i="12"/>
  <c r="D1591" i="12"/>
  <c r="C1591" i="12"/>
  <c r="B1591" i="12"/>
  <c r="A1591" i="12"/>
  <c r="G1590" i="12"/>
  <c r="F1590" i="12"/>
  <c r="E1590" i="12"/>
  <c r="D1590" i="12"/>
  <c r="C1590" i="12"/>
  <c r="B1590" i="12"/>
  <c r="A1590" i="12"/>
  <c r="G1589" i="12"/>
  <c r="F1589" i="12"/>
  <c r="E1589" i="12"/>
  <c r="D1589" i="12"/>
  <c r="C1589" i="12"/>
  <c r="B1589" i="12"/>
  <c r="A1589" i="12"/>
  <c r="G1588" i="12"/>
  <c r="F1588" i="12"/>
  <c r="E1588" i="12"/>
  <c r="D1588" i="12"/>
  <c r="C1588" i="12"/>
  <c r="B1588" i="12"/>
  <c r="A1588" i="12"/>
  <c r="G1587" i="12"/>
  <c r="F1587" i="12"/>
  <c r="E1587" i="12"/>
  <c r="D1587" i="12"/>
  <c r="C1587" i="12"/>
  <c r="B1587" i="12"/>
  <c r="A1587" i="12"/>
  <c r="G1586" i="12"/>
  <c r="F1586" i="12"/>
  <c r="E1586" i="12"/>
  <c r="D1586" i="12"/>
  <c r="C1586" i="12"/>
  <c r="B1586" i="12"/>
  <c r="A1586" i="12"/>
  <c r="G1585" i="12"/>
  <c r="F1585" i="12"/>
  <c r="E1585" i="12"/>
  <c r="D1585" i="12"/>
  <c r="C1585" i="12"/>
  <c r="B1585" i="12"/>
  <c r="A1585" i="12"/>
  <c r="G1584" i="12"/>
  <c r="F1584" i="12"/>
  <c r="E1584" i="12"/>
  <c r="D1584" i="12"/>
  <c r="C1584" i="12"/>
  <c r="B1584" i="12"/>
  <c r="A1584" i="12"/>
  <c r="G1583" i="12"/>
  <c r="F1583" i="12"/>
  <c r="E1583" i="12"/>
  <c r="D1583" i="12"/>
  <c r="C1583" i="12"/>
  <c r="B1583" i="12"/>
  <c r="A1583" i="12"/>
  <c r="G1582" i="12"/>
  <c r="F1582" i="12"/>
  <c r="E1582" i="12"/>
  <c r="D1582" i="12"/>
  <c r="C1582" i="12"/>
  <c r="B1582" i="12"/>
  <c r="A1582" i="12"/>
  <c r="G1581" i="12"/>
  <c r="F1581" i="12"/>
  <c r="E1581" i="12"/>
  <c r="D1581" i="12"/>
  <c r="C1581" i="12"/>
  <c r="B1581" i="12"/>
  <c r="A1581" i="12"/>
  <c r="G1580" i="12"/>
  <c r="F1580" i="12"/>
  <c r="E1580" i="12"/>
  <c r="D1580" i="12"/>
  <c r="C1580" i="12"/>
  <c r="B1580" i="12"/>
  <c r="A1580" i="12"/>
  <c r="G1579" i="12"/>
  <c r="F1579" i="12"/>
  <c r="E1579" i="12"/>
  <c r="D1579" i="12"/>
  <c r="C1579" i="12"/>
  <c r="B1579" i="12"/>
  <c r="A1579" i="12"/>
  <c r="G1578" i="12"/>
  <c r="F1578" i="12"/>
  <c r="E1578" i="12"/>
  <c r="D1578" i="12"/>
  <c r="C1578" i="12"/>
  <c r="B1578" i="12"/>
  <c r="A1578" i="12"/>
  <c r="G1577" i="12"/>
  <c r="F1577" i="12"/>
  <c r="E1577" i="12"/>
  <c r="D1577" i="12"/>
  <c r="C1577" i="12"/>
  <c r="B1577" i="12"/>
  <c r="A1577" i="12"/>
  <c r="G1576" i="12"/>
  <c r="F1576" i="12"/>
  <c r="E1576" i="12"/>
  <c r="D1576" i="12"/>
  <c r="C1576" i="12"/>
  <c r="B1576" i="12"/>
  <c r="A1576" i="12"/>
  <c r="G1575" i="12"/>
  <c r="F1575" i="12"/>
  <c r="E1575" i="12"/>
  <c r="D1575" i="12"/>
  <c r="C1575" i="12"/>
  <c r="B1575" i="12"/>
  <c r="A1575" i="12"/>
  <c r="G1574" i="12"/>
  <c r="F1574" i="12"/>
  <c r="E1574" i="12"/>
  <c r="D1574" i="12"/>
  <c r="C1574" i="12"/>
  <c r="B1574" i="12"/>
  <c r="A1574" i="12"/>
  <c r="G1573" i="12"/>
  <c r="F1573" i="12"/>
  <c r="E1573" i="12"/>
  <c r="D1573" i="12"/>
  <c r="C1573" i="12"/>
  <c r="B1573" i="12"/>
  <c r="A1573" i="12"/>
  <c r="G1572" i="12"/>
  <c r="F1572" i="12"/>
  <c r="E1572" i="12"/>
  <c r="D1572" i="12"/>
  <c r="C1572" i="12"/>
  <c r="B1572" i="12"/>
  <c r="A1572" i="12"/>
  <c r="G1571" i="12"/>
  <c r="F1571" i="12"/>
  <c r="E1571" i="12"/>
  <c r="D1571" i="12"/>
  <c r="C1571" i="12"/>
  <c r="B1571" i="12"/>
  <c r="A1571" i="12"/>
  <c r="G1570" i="12"/>
  <c r="F1570" i="12"/>
  <c r="E1570" i="12"/>
  <c r="D1570" i="12"/>
  <c r="C1570" i="12"/>
  <c r="B1570" i="12"/>
  <c r="A1570" i="12"/>
  <c r="G1569" i="12"/>
  <c r="F1569" i="12"/>
  <c r="E1569" i="12"/>
  <c r="D1569" i="12"/>
  <c r="C1569" i="12"/>
  <c r="B1569" i="12"/>
  <c r="A1569" i="12"/>
  <c r="G1568" i="12"/>
  <c r="F1568" i="12"/>
  <c r="E1568" i="12"/>
  <c r="D1568" i="12"/>
  <c r="C1568" i="12"/>
  <c r="B1568" i="12"/>
  <c r="A1568" i="12"/>
  <c r="G1567" i="12"/>
  <c r="F1567" i="12"/>
  <c r="E1567" i="12"/>
  <c r="D1567" i="12"/>
  <c r="C1567" i="12"/>
  <c r="B1567" i="12"/>
  <c r="A1567" i="12"/>
  <c r="G1566" i="12"/>
  <c r="F1566" i="12"/>
  <c r="E1566" i="12"/>
  <c r="D1566" i="12"/>
  <c r="C1566" i="12"/>
  <c r="B1566" i="12"/>
  <c r="A1566" i="12"/>
  <c r="G1565" i="12"/>
  <c r="F1565" i="12"/>
  <c r="E1565" i="12"/>
  <c r="D1565" i="12"/>
  <c r="C1565" i="12"/>
  <c r="B1565" i="12"/>
  <c r="A1565" i="12"/>
  <c r="G1564" i="12"/>
  <c r="F1564" i="12"/>
  <c r="E1564" i="12"/>
  <c r="D1564" i="12"/>
  <c r="C1564" i="12"/>
  <c r="B1564" i="12"/>
  <c r="A1564" i="12"/>
  <c r="G1563" i="12"/>
  <c r="F1563" i="12"/>
  <c r="E1563" i="12"/>
  <c r="D1563" i="12"/>
  <c r="C1563" i="12"/>
  <c r="B1563" i="12"/>
  <c r="A1563" i="12"/>
  <c r="G1562" i="12"/>
  <c r="F1562" i="12"/>
  <c r="E1562" i="12"/>
  <c r="D1562" i="12"/>
  <c r="C1562" i="12"/>
  <c r="B1562" i="12"/>
  <c r="A1562" i="12"/>
  <c r="G1561" i="12"/>
  <c r="F1561" i="12"/>
  <c r="E1561" i="12"/>
  <c r="D1561" i="12"/>
  <c r="C1561" i="12"/>
  <c r="B1561" i="12"/>
  <c r="A1561" i="12"/>
  <c r="G1560" i="12"/>
  <c r="F1560" i="12"/>
  <c r="E1560" i="12"/>
  <c r="D1560" i="12"/>
  <c r="C1560" i="12"/>
  <c r="B1560" i="12"/>
  <c r="A1560" i="12"/>
  <c r="G1559" i="12"/>
  <c r="F1559" i="12"/>
  <c r="E1559" i="12"/>
  <c r="D1559" i="12"/>
  <c r="C1559" i="12"/>
  <c r="B1559" i="12"/>
  <c r="A1559" i="12"/>
  <c r="G1558" i="12"/>
  <c r="F1558" i="12"/>
  <c r="E1558" i="12"/>
  <c r="D1558" i="12"/>
  <c r="C1558" i="12"/>
  <c r="B1558" i="12"/>
  <c r="A1558" i="12"/>
  <c r="G1557" i="12"/>
  <c r="F1557" i="12"/>
  <c r="E1557" i="12"/>
  <c r="D1557" i="12"/>
  <c r="C1557" i="12"/>
  <c r="B1557" i="12"/>
  <c r="A1557" i="12"/>
  <c r="G1556" i="12"/>
  <c r="F1556" i="12"/>
  <c r="E1556" i="12"/>
  <c r="D1556" i="12"/>
  <c r="C1556" i="12"/>
  <c r="B1556" i="12"/>
  <c r="A1556" i="12"/>
  <c r="G1555" i="12"/>
  <c r="F1555" i="12"/>
  <c r="E1555" i="12"/>
  <c r="D1555" i="12"/>
  <c r="C1555" i="12"/>
  <c r="B1555" i="12"/>
  <c r="A1555" i="12"/>
  <c r="G1554" i="12"/>
  <c r="F1554" i="12"/>
  <c r="E1554" i="12"/>
  <c r="D1554" i="12"/>
  <c r="C1554" i="12"/>
  <c r="B1554" i="12"/>
  <c r="A1554" i="12"/>
  <c r="G1553" i="12"/>
  <c r="F1553" i="12"/>
  <c r="E1553" i="12"/>
  <c r="D1553" i="12"/>
  <c r="C1553" i="12"/>
  <c r="B1553" i="12"/>
  <c r="A1553" i="12"/>
  <c r="G1552" i="12"/>
  <c r="F1552" i="12"/>
  <c r="E1552" i="12"/>
  <c r="D1552" i="12"/>
  <c r="C1552" i="12"/>
  <c r="B1552" i="12"/>
  <c r="A1552" i="12"/>
  <c r="G1551" i="12"/>
  <c r="F1551" i="12"/>
  <c r="E1551" i="12"/>
  <c r="D1551" i="12"/>
  <c r="C1551" i="12"/>
  <c r="B1551" i="12"/>
  <c r="A1551" i="12"/>
  <c r="G1550" i="12"/>
  <c r="F1550" i="12"/>
  <c r="E1550" i="12"/>
  <c r="D1550" i="12"/>
  <c r="C1550" i="12"/>
  <c r="B1550" i="12"/>
  <c r="A1550" i="12"/>
  <c r="G1549" i="12"/>
  <c r="F1549" i="12"/>
  <c r="E1549" i="12"/>
  <c r="D1549" i="12"/>
  <c r="C1549" i="12"/>
  <c r="B1549" i="12"/>
  <c r="A1549" i="12"/>
  <c r="G1548" i="12"/>
  <c r="F1548" i="12"/>
  <c r="E1548" i="12"/>
  <c r="D1548" i="12"/>
  <c r="C1548" i="12"/>
  <c r="B1548" i="12"/>
  <c r="A1548" i="12"/>
  <c r="G1547" i="12"/>
  <c r="F1547" i="12"/>
  <c r="E1547" i="12"/>
  <c r="D1547" i="12"/>
  <c r="C1547" i="12"/>
  <c r="B1547" i="12"/>
  <c r="A1547" i="12"/>
  <c r="G1546" i="12"/>
  <c r="F1546" i="12"/>
  <c r="E1546" i="12"/>
  <c r="D1546" i="12"/>
  <c r="C1546" i="12"/>
  <c r="B1546" i="12"/>
  <c r="A1546" i="12"/>
  <c r="G1545" i="12"/>
  <c r="F1545" i="12"/>
  <c r="E1545" i="12"/>
  <c r="D1545" i="12"/>
  <c r="C1545" i="12"/>
  <c r="B1545" i="12"/>
  <c r="A1545" i="12"/>
  <c r="G1544" i="12"/>
  <c r="F1544" i="12"/>
  <c r="E1544" i="12"/>
  <c r="D1544" i="12"/>
  <c r="C1544" i="12"/>
  <c r="B1544" i="12"/>
  <c r="A1544" i="12"/>
  <c r="G1543" i="12"/>
  <c r="F1543" i="12"/>
  <c r="E1543" i="12"/>
  <c r="D1543" i="12"/>
  <c r="C1543" i="12"/>
  <c r="B1543" i="12"/>
  <c r="A1543" i="12"/>
  <c r="G1542" i="12"/>
  <c r="F1542" i="12"/>
  <c r="E1542" i="12"/>
  <c r="D1542" i="12"/>
  <c r="C1542" i="12"/>
  <c r="B1542" i="12"/>
  <c r="A1542" i="12"/>
  <c r="G1541" i="12"/>
  <c r="F1541" i="12"/>
  <c r="E1541" i="12"/>
  <c r="D1541" i="12"/>
  <c r="C1541" i="12"/>
  <c r="B1541" i="12"/>
  <c r="A1541" i="12"/>
  <c r="G1540" i="12"/>
  <c r="F1540" i="12"/>
  <c r="E1540" i="12"/>
  <c r="D1540" i="12"/>
  <c r="C1540" i="12"/>
  <c r="B1540" i="12"/>
  <c r="A1540" i="12"/>
  <c r="G1539" i="12"/>
  <c r="F1539" i="12"/>
  <c r="E1539" i="12"/>
  <c r="D1539" i="12"/>
  <c r="C1539" i="12"/>
  <c r="B1539" i="12"/>
  <c r="A1539" i="12"/>
  <c r="G1538" i="12"/>
  <c r="F1538" i="12"/>
  <c r="E1538" i="12"/>
  <c r="D1538" i="12"/>
  <c r="C1538" i="12"/>
  <c r="B1538" i="12"/>
  <c r="A1538" i="12"/>
  <c r="G1537" i="12"/>
  <c r="F1537" i="12"/>
  <c r="E1537" i="12"/>
  <c r="D1537" i="12"/>
  <c r="C1537" i="12"/>
  <c r="B1537" i="12"/>
  <c r="A1537" i="12"/>
  <c r="G1536" i="12"/>
  <c r="F1536" i="12"/>
  <c r="E1536" i="12"/>
  <c r="D1536" i="12"/>
  <c r="C1536" i="12"/>
  <c r="B1536" i="12"/>
  <c r="A1536" i="12"/>
  <c r="G1535" i="12"/>
  <c r="F1535" i="12"/>
  <c r="E1535" i="12"/>
  <c r="D1535" i="12"/>
  <c r="C1535" i="12"/>
  <c r="B1535" i="12"/>
  <c r="A1535" i="12"/>
  <c r="G1534" i="12"/>
  <c r="F1534" i="12"/>
  <c r="E1534" i="12"/>
  <c r="D1534" i="12"/>
  <c r="C1534" i="12"/>
  <c r="B1534" i="12"/>
  <c r="A1534" i="12"/>
  <c r="G1533" i="12"/>
  <c r="F1533" i="12"/>
  <c r="E1533" i="12"/>
  <c r="D1533" i="12"/>
  <c r="C1533" i="12"/>
  <c r="B1533" i="12"/>
  <c r="A1533" i="12"/>
  <c r="G1532" i="12"/>
  <c r="F1532" i="12"/>
  <c r="E1532" i="12"/>
  <c r="D1532" i="12"/>
  <c r="C1532" i="12"/>
  <c r="B1532" i="12"/>
  <c r="A1532" i="12"/>
  <c r="G1531" i="12"/>
  <c r="F1531" i="12"/>
  <c r="E1531" i="12"/>
  <c r="D1531" i="12"/>
  <c r="C1531" i="12"/>
  <c r="B1531" i="12"/>
  <c r="A1531" i="12"/>
  <c r="G1530" i="12"/>
  <c r="F1530" i="12"/>
  <c r="E1530" i="12"/>
  <c r="D1530" i="12"/>
  <c r="C1530" i="12"/>
  <c r="B1530" i="12"/>
  <c r="A1530" i="12"/>
  <c r="G1529" i="12"/>
  <c r="F1529" i="12"/>
  <c r="E1529" i="12"/>
  <c r="D1529" i="12"/>
  <c r="C1529" i="12"/>
  <c r="B1529" i="12"/>
  <c r="A1529" i="12"/>
  <c r="G1528" i="12"/>
  <c r="F1528" i="12"/>
  <c r="E1528" i="12"/>
  <c r="D1528" i="12"/>
  <c r="C1528" i="12"/>
  <c r="B1528" i="12"/>
  <c r="A1528" i="12"/>
  <c r="G1527" i="12"/>
  <c r="F1527" i="12"/>
  <c r="E1527" i="12"/>
  <c r="D1527" i="12"/>
  <c r="C1527" i="12"/>
  <c r="B1527" i="12"/>
  <c r="A1527" i="12"/>
  <c r="G1526" i="12"/>
  <c r="F1526" i="12"/>
  <c r="E1526" i="12"/>
  <c r="D1526" i="12"/>
  <c r="C1526" i="12"/>
  <c r="B1526" i="12"/>
  <c r="A1526" i="12"/>
  <c r="G1525" i="12"/>
  <c r="F1525" i="12"/>
  <c r="E1525" i="12"/>
  <c r="D1525" i="12"/>
  <c r="C1525" i="12"/>
  <c r="B1525" i="12"/>
  <c r="A1525" i="12"/>
  <c r="G1524" i="12"/>
  <c r="F1524" i="12"/>
  <c r="E1524" i="12"/>
  <c r="D1524" i="12"/>
  <c r="C1524" i="12"/>
  <c r="B1524" i="12"/>
  <c r="A1524" i="12"/>
  <c r="G1523" i="12"/>
  <c r="F1523" i="12"/>
  <c r="E1523" i="12"/>
  <c r="D1523" i="12"/>
  <c r="C1523" i="12"/>
  <c r="B1523" i="12"/>
  <c r="A1523" i="12"/>
  <c r="G1522" i="12"/>
  <c r="F1522" i="12"/>
  <c r="E1522" i="12"/>
  <c r="D1522" i="12"/>
  <c r="C1522" i="12"/>
  <c r="B1522" i="12"/>
  <c r="A1522" i="12"/>
  <c r="G1521" i="12"/>
  <c r="F1521" i="12"/>
  <c r="E1521" i="12"/>
  <c r="D1521" i="12"/>
  <c r="C1521" i="12"/>
  <c r="B1521" i="12"/>
  <c r="A1521" i="12"/>
  <c r="G1520" i="12"/>
  <c r="F1520" i="12"/>
  <c r="E1520" i="12"/>
  <c r="D1520" i="12"/>
  <c r="C1520" i="12"/>
  <c r="B1520" i="12"/>
  <c r="A1520" i="12"/>
  <c r="G1519" i="12"/>
  <c r="F1519" i="12"/>
  <c r="E1519" i="12"/>
  <c r="D1519" i="12"/>
  <c r="C1519" i="12"/>
  <c r="B1519" i="12"/>
  <c r="A1519" i="12"/>
  <c r="G1518" i="12"/>
  <c r="F1518" i="12"/>
  <c r="E1518" i="12"/>
  <c r="D1518" i="12"/>
  <c r="C1518" i="12"/>
  <c r="B1518" i="12"/>
  <c r="A1518" i="12"/>
  <c r="G1517" i="12"/>
  <c r="F1517" i="12"/>
  <c r="E1517" i="12"/>
  <c r="D1517" i="12"/>
  <c r="C1517" i="12"/>
  <c r="B1517" i="12"/>
  <c r="A1517" i="12"/>
  <c r="G1516" i="12"/>
  <c r="F1516" i="12"/>
  <c r="E1516" i="12"/>
  <c r="D1516" i="12"/>
  <c r="C1516" i="12"/>
  <c r="B1516" i="12"/>
  <c r="A1516" i="12"/>
  <c r="G1515" i="12"/>
  <c r="F1515" i="12"/>
  <c r="E1515" i="12"/>
  <c r="D1515" i="12"/>
  <c r="C1515" i="12"/>
  <c r="B1515" i="12"/>
  <c r="A1515" i="12"/>
  <c r="G1514" i="12"/>
  <c r="F1514" i="12"/>
  <c r="E1514" i="12"/>
  <c r="D1514" i="12"/>
  <c r="C1514" i="12"/>
  <c r="B1514" i="12"/>
  <c r="A1514" i="12"/>
  <c r="G1513" i="12"/>
  <c r="F1513" i="12"/>
  <c r="E1513" i="12"/>
  <c r="D1513" i="12"/>
  <c r="C1513" i="12"/>
  <c r="B1513" i="12"/>
  <c r="A1513" i="12"/>
  <c r="G1512" i="12"/>
  <c r="F1512" i="12"/>
  <c r="E1512" i="12"/>
  <c r="D1512" i="12"/>
  <c r="C1512" i="12"/>
  <c r="B1512" i="12"/>
  <c r="A1512" i="12"/>
  <c r="G1511" i="12"/>
  <c r="F1511" i="12"/>
  <c r="E1511" i="12"/>
  <c r="D1511" i="12"/>
  <c r="C1511" i="12"/>
  <c r="B1511" i="12"/>
  <c r="A1511" i="12"/>
  <c r="G1510" i="12"/>
  <c r="F1510" i="12"/>
  <c r="E1510" i="12"/>
  <c r="D1510" i="12"/>
  <c r="C1510" i="12"/>
  <c r="B1510" i="12"/>
  <c r="A1510" i="12"/>
  <c r="G1509" i="12"/>
  <c r="F1509" i="12"/>
  <c r="E1509" i="12"/>
  <c r="D1509" i="12"/>
  <c r="C1509" i="12"/>
  <c r="B1509" i="12"/>
  <c r="A1509" i="12"/>
  <c r="G1508" i="12"/>
  <c r="F1508" i="12"/>
  <c r="E1508" i="12"/>
  <c r="D1508" i="12"/>
  <c r="C1508" i="12"/>
  <c r="B1508" i="12"/>
  <c r="A1508" i="12"/>
  <c r="G1507" i="12"/>
  <c r="F1507" i="12"/>
  <c r="E1507" i="12"/>
  <c r="D1507" i="12"/>
  <c r="C1507" i="12"/>
  <c r="B1507" i="12"/>
  <c r="A1507" i="12"/>
  <c r="G1506" i="12"/>
  <c r="F1506" i="12"/>
  <c r="E1506" i="12"/>
  <c r="D1506" i="12"/>
  <c r="C1506" i="12"/>
  <c r="B1506" i="12"/>
  <c r="A1506" i="12"/>
  <c r="G1505" i="12"/>
  <c r="F1505" i="12"/>
  <c r="E1505" i="12"/>
  <c r="D1505" i="12"/>
  <c r="C1505" i="12"/>
  <c r="B1505" i="12"/>
  <c r="A1505" i="12"/>
  <c r="G1504" i="12"/>
  <c r="F1504" i="12"/>
  <c r="E1504" i="12"/>
  <c r="D1504" i="12"/>
  <c r="C1504" i="12"/>
  <c r="B1504" i="12"/>
  <c r="A1504" i="12"/>
  <c r="G1503" i="12"/>
  <c r="F1503" i="12"/>
  <c r="E1503" i="12"/>
  <c r="D1503" i="12"/>
  <c r="C1503" i="12"/>
  <c r="B1503" i="12"/>
  <c r="A1503" i="12"/>
  <c r="G1502" i="12"/>
  <c r="F1502" i="12"/>
  <c r="E1502" i="12"/>
  <c r="D1502" i="12"/>
  <c r="C1502" i="12"/>
  <c r="B1502" i="12"/>
  <c r="A1502" i="12"/>
  <c r="G1501" i="12"/>
  <c r="F1501" i="12"/>
  <c r="E1501" i="12"/>
  <c r="D1501" i="12"/>
  <c r="C1501" i="12"/>
  <c r="B1501" i="12"/>
  <c r="A1501" i="12"/>
  <c r="G1500" i="12"/>
  <c r="F1500" i="12"/>
  <c r="E1500" i="12"/>
  <c r="D1500" i="12"/>
  <c r="C1500" i="12"/>
  <c r="B1500" i="12"/>
  <c r="A1500" i="12"/>
  <c r="G1499" i="12"/>
  <c r="F1499" i="12"/>
  <c r="E1499" i="12"/>
  <c r="D1499" i="12"/>
  <c r="C1499" i="12"/>
  <c r="B1499" i="12"/>
  <c r="A1499" i="12"/>
  <c r="G1498" i="12"/>
  <c r="F1498" i="12"/>
  <c r="E1498" i="12"/>
  <c r="D1498" i="12"/>
  <c r="C1498" i="12"/>
  <c r="B1498" i="12"/>
  <c r="A1498" i="12"/>
  <c r="G1497" i="12"/>
  <c r="F1497" i="12"/>
  <c r="E1497" i="12"/>
  <c r="D1497" i="12"/>
  <c r="C1497" i="12"/>
  <c r="B1497" i="12"/>
  <c r="A1497" i="12"/>
  <c r="G1496" i="12"/>
  <c r="F1496" i="12"/>
  <c r="E1496" i="12"/>
  <c r="D1496" i="12"/>
  <c r="C1496" i="12"/>
  <c r="B1496" i="12"/>
  <c r="A1496" i="12"/>
  <c r="G1495" i="12"/>
  <c r="F1495" i="12"/>
  <c r="E1495" i="12"/>
  <c r="D1495" i="12"/>
  <c r="C1495" i="12"/>
  <c r="B1495" i="12"/>
  <c r="A1495" i="12"/>
  <c r="G1494" i="12"/>
  <c r="F1494" i="12"/>
  <c r="E1494" i="12"/>
  <c r="D1494" i="12"/>
  <c r="C1494" i="12"/>
  <c r="B1494" i="12"/>
  <c r="A1494" i="12"/>
  <c r="G1493" i="12"/>
  <c r="F1493" i="12"/>
  <c r="E1493" i="12"/>
  <c r="D1493" i="12"/>
  <c r="C1493" i="12"/>
  <c r="B1493" i="12"/>
  <c r="A1493" i="12"/>
  <c r="G1492" i="12"/>
  <c r="F1492" i="12"/>
  <c r="E1492" i="12"/>
  <c r="D1492" i="12"/>
  <c r="C1492" i="12"/>
  <c r="B1492" i="12"/>
  <c r="A1492" i="12"/>
  <c r="G1491" i="12"/>
  <c r="F1491" i="12"/>
  <c r="E1491" i="12"/>
  <c r="D1491" i="12"/>
  <c r="C1491" i="12"/>
  <c r="B1491" i="12"/>
  <c r="A1491" i="12"/>
  <c r="G1490" i="12"/>
  <c r="F1490" i="12"/>
  <c r="E1490" i="12"/>
  <c r="D1490" i="12"/>
  <c r="C1490" i="12"/>
  <c r="B1490" i="12"/>
  <c r="A1490" i="12"/>
  <c r="G1489" i="12"/>
  <c r="F1489" i="12"/>
  <c r="E1489" i="12"/>
  <c r="D1489" i="12"/>
  <c r="C1489" i="12"/>
  <c r="B1489" i="12"/>
  <c r="A1489" i="12"/>
  <c r="G1488" i="12"/>
  <c r="F1488" i="12"/>
  <c r="E1488" i="12"/>
  <c r="D1488" i="12"/>
  <c r="C1488" i="12"/>
  <c r="B1488" i="12"/>
  <c r="A1488" i="12"/>
  <c r="G1487" i="12"/>
  <c r="F1487" i="12"/>
  <c r="E1487" i="12"/>
  <c r="D1487" i="12"/>
  <c r="C1487" i="12"/>
  <c r="B1487" i="12"/>
  <c r="A1487" i="12"/>
  <c r="G1486" i="12"/>
  <c r="F1486" i="12"/>
  <c r="E1486" i="12"/>
  <c r="D1486" i="12"/>
  <c r="C1486" i="12"/>
  <c r="B1486" i="12"/>
  <c r="A1486" i="12"/>
  <c r="G1485" i="12"/>
  <c r="F1485" i="12"/>
  <c r="E1485" i="12"/>
  <c r="D1485" i="12"/>
  <c r="C1485" i="12"/>
  <c r="B1485" i="12"/>
  <c r="A1485" i="12"/>
  <c r="G1484" i="12"/>
  <c r="F1484" i="12"/>
  <c r="E1484" i="12"/>
  <c r="D1484" i="12"/>
  <c r="C1484" i="12"/>
  <c r="B1484" i="12"/>
  <c r="A1484" i="12"/>
  <c r="G1483" i="12"/>
  <c r="F1483" i="12"/>
  <c r="E1483" i="12"/>
  <c r="D1483" i="12"/>
  <c r="C1483" i="12"/>
  <c r="B1483" i="12"/>
  <c r="A1483" i="12"/>
  <c r="G1482" i="12"/>
  <c r="F1482" i="12"/>
  <c r="E1482" i="12"/>
  <c r="D1482" i="12"/>
  <c r="C1482" i="12"/>
  <c r="B1482" i="12"/>
  <c r="A1482" i="12"/>
  <c r="G1481" i="12"/>
  <c r="F1481" i="12"/>
  <c r="E1481" i="12"/>
  <c r="D1481" i="12"/>
  <c r="C1481" i="12"/>
  <c r="B1481" i="12"/>
  <c r="A1481" i="12"/>
  <c r="G1480" i="12"/>
  <c r="F1480" i="12"/>
  <c r="E1480" i="12"/>
  <c r="D1480" i="12"/>
  <c r="C1480" i="12"/>
  <c r="B1480" i="12"/>
  <c r="A1480" i="12"/>
  <c r="G1479" i="12"/>
  <c r="F1479" i="12"/>
  <c r="E1479" i="12"/>
  <c r="D1479" i="12"/>
  <c r="C1479" i="12"/>
  <c r="B1479" i="12"/>
  <c r="A1479" i="12"/>
  <c r="G1478" i="12"/>
  <c r="F1478" i="12"/>
  <c r="E1478" i="12"/>
  <c r="D1478" i="12"/>
  <c r="C1478" i="12"/>
  <c r="B1478" i="12"/>
  <c r="A1478" i="12"/>
  <c r="G1477" i="12"/>
  <c r="F1477" i="12"/>
  <c r="E1477" i="12"/>
  <c r="D1477" i="12"/>
  <c r="C1477" i="12"/>
  <c r="B1477" i="12"/>
  <c r="A1477" i="12"/>
  <c r="G1476" i="12"/>
  <c r="F1476" i="12"/>
  <c r="E1476" i="12"/>
  <c r="D1476" i="12"/>
  <c r="C1476" i="12"/>
  <c r="B1476" i="12"/>
  <c r="A1476" i="12"/>
  <c r="G1475" i="12"/>
  <c r="F1475" i="12"/>
  <c r="E1475" i="12"/>
  <c r="D1475" i="12"/>
  <c r="C1475" i="12"/>
  <c r="B1475" i="12"/>
  <c r="A1475" i="12"/>
  <c r="G1474" i="12"/>
  <c r="F1474" i="12"/>
  <c r="E1474" i="12"/>
  <c r="D1474" i="12"/>
  <c r="C1474" i="12"/>
  <c r="B1474" i="12"/>
  <c r="A1474" i="12"/>
  <c r="G1473" i="12"/>
  <c r="F1473" i="12"/>
  <c r="E1473" i="12"/>
  <c r="D1473" i="12"/>
  <c r="C1473" i="12"/>
  <c r="B1473" i="12"/>
  <c r="A1473" i="12"/>
  <c r="G1472" i="12"/>
  <c r="F1472" i="12"/>
  <c r="E1472" i="12"/>
  <c r="D1472" i="12"/>
  <c r="C1472" i="12"/>
  <c r="B1472" i="12"/>
  <c r="A1472" i="12"/>
  <c r="G1471" i="12"/>
  <c r="F1471" i="12"/>
  <c r="E1471" i="12"/>
  <c r="D1471" i="12"/>
  <c r="C1471" i="12"/>
  <c r="B1471" i="12"/>
  <c r="A1471" i="12"/>
  <c r="G1470" i="12"/>
  <c r="F1470" i="12"/>
  <c r="E1470" i="12"/>
  <c r="D1470" i="12"/>
  <c r="C1470" i="12"/>
  <c r="B1470" i="12"/>
  <c r="A1470" i="12"/>
  <c r="G1469" i="12"/>
  <c r="F1469" i="12"/>
  <c r="E1469" i="12"/>
  <c r="D1469" i="12"/>
  <c r="C1469" i="12"/>
  <c r="B1469" i="12"/>
  <c r="A1469" i="12"/>
  <c r="G1468" i="12"/>
  <c r="F1468" i="12"/>
  <c r="E1468" i="12"/>
  <c r="D1468" i="12"/>
  <c r="C1468" i="12"/>
  <c r="B1468" i="12"/>
  <c r="A1468" i="12"/>
  <c r="G1467" i="12"/>
  <c r="F1467" i="12"/>
  <c r="E1467" i="12"/>
  <c r="D1467" i="12"/>
  <c r="C1467" i="12"/>
  <c r="B1467" i="12"/>
  <c r="A1467" i="12"/>
  <c r="G1466" i="12"/>
  <c r="F1466" i="12"/>
  <c r="E1466" i="12"/>
  <c r="D1466" i="12"/>
  <c r="C1466" i="12"/>
  <c r="B1466" i="12"/>
  <c r="A1466" i="12"/>
  <c r="G1465" i="12"/>
  <c r="F1465" i="12"/>
  <c r="E1465" i="12"/>
  <c r="D1465" i="12"/>
  <c r="C1465" i="12"/>
  <c r="B1465" i="12"/>
  <c r="A1465" i="12"/>
  <c r="G1464" i="12"/>
  <c r="F1464" i="12"/>
  <c r="E1464" i="12"/>
  <c r="D1464" i="12"/>
  <c r="C1464" i="12"/>
  <c r="B1464" i="12"/>
  <c r="A1464" i="12"/>
  <c r="G1463" i="12"/>
  <c r="F1463" i="12"/>
  <c r="E1463" i="12"/>
  <c r="D1463" i="12"/>
  <c r="C1463" i="12"/>
  <c r="B1463" i="12"/>
  <c r="A1463" i="12"/>
  <c r="G1462" i="12"/>
  <c r="F1462" i="12"/>
  <c r="E1462" i="12"/>
  <c r="D1462" i="12"/>
  <c r="C1462" i="12"/>
  <c r="B1462" i="12"/>
  <c r="A1462" i="12"/>
  <c r="G1461" i="12"/>
  <c r="F1461" i="12"/>
  <c r="E1461" i="12"/>
  <c r="D1461" i="12"/>
  <c r="C1461" i="12"/>
  <c r="B1461" i="12"/>
  <c r="A1461" i="12"/>
  <c r="G1460" i="12"/>
  <c r="F1460" i="12"/>
  <c r="E1460" i="12"/>
  <c r="D1460" i="12"/>
  <c r="C1460" i="12"/>
  <c r="B1460" i="12"/>
  <c r="A1460" i="12"/>
  <c r="G1459" i="12"/>
  <c r="F1459" i="12"/>
  <c r="E1459" i="12"/>
  <c r="D1459" i="12"/>
  <c r="C1459" i="12"/>
  <c r="B1459" i="12"/>
  <c r="A1459" i="12"/>
  <c r="G1458" i="12"/>
  <c r="F1458" i="12"/>
  <c r="E1458" i="12"/>
  <c r="D1458" i="12"/>
  <c r="C1458" i="12"/>
  <c r="B1458" i="12"/>
  <c r="A1458" i="12"/>
  <c r="G1457" i="12"/>
  <c r="F1457" i="12"/>
  <c r="E1457" i="12"/>
  <c r="D1457" i="12"/>
  <c r="C1457" i="12"/>
  <c r="B1457" i="12"/>
  <c r="A1457" i="12"/>
  <c r="G1456" i="12"/>
  <c r="F1456" i="12"/>
  <c r="E1456" i="12"/>
  <c r="D1456" i="12"/>
  <c r="C1456" i="12"/>
  <c r="B1456" i="12"/>
  <c r="A1456" i="12"/>
  <c r="G1455" i="12"/>
  <c r="F1455" i="12"/>
  <c r="E1455" i="12"/>
  <c r="D1455" i="12"/>
  <c r="C1455" i="12"/>
  <c r="B1455" i="12"/>
  <c r="A1455" i="12"/>
  <c r="G1454" i="12"/>
  <c r="F1454" i="12"/>
  <c r="E1454" i="12"/>
  <c r="D1454" i="12"/>
  <c r="C1454" i="12"/>
  <c r="B1454" i="12"/>
  <c r="A1454" i="12"/>
  <c r="G1453" i="12"/>
  <c r="F1453" i="12"/>
  <c r="E1453" i="12"/>
  <c r="D1453" i="12"/>
  <c r="C1453" i="12"/>
  <c r="B1453" i="12"/>
  <c r="A1453" i="12"/>
  <c r="G1452" i="12"/>
  <c r="F1452" i="12"/>
  <c r="E1452" i="12"/>
  <c r="D1452" i="12"/>
  <c r="C1452" i="12"/>
  <c r="B1452" i="12"/>
  <c r="A1452" i="12"/>
  <c r="G1451" i="12"/>
  <c r="F1451" i="12"/>
  <c r="E1451" i="12"/>
  <c r="D1451" i="12"/>
  <c r="C1451" i="12"/>
  <c r="B1451" i="12"/>
  <c r="A1451" i="12"/>
  <c r="G1450" i="12"/>
  <c r="F1450" i="12"/>
  <c r="E1450" i="12"/>
  <c r="D1450" i="12"/>
  <c r="C1450" i="12"/>
  <c r="B1450" i="12"/>
  <c r="A1450" i="12"/>
  <c r="G1449" i="12"/>
  <c r="F1449" i="12"/>
  <c r="E1449" i="12"/>
  <c r="D1449" i="12"/>
  <c r="C1449" i="12"/>
  <c r="B1449" i="12"/>
  <c r="A1449" i="12"/>
  <c r="G1448" i="12"/>
  <c r="F1448" i="12"/>
  <c r="E1448" i="12"/>
  <c r="D1448" i="12"/>
  <c r="C1448" i="12"/>
  <c r="B1448" i="12"/>
  <c r="A1448" i="12"/>
  <c r="G1447" i="12"/>
  <c r="F1447" i="12"/>
  <c r="E1447" i="12"/>
  <c r="D1447" i="12"/>
  <c r="C1447" i="12"/>
  <c r="B1447" i="12"/>
  <c r="A1447" i="12"/>
  <c r="G1446" i="12"/>
  <c r="F1446" i="12"/>
  <c r="E1446" i="12"/>
  <c r="D1446" i="12"/>
  <c r="C1446" i="12"/>
  <c r="B1446" i="12"/>
  <c r="A1446" i="12"/>
  <c r="G1445" i="12"/>
  <c r="F1445" i="12"/>
  <c r="E1445" i="12"/>
  <c r="D1445" i="12"/>
  <c r="C1445" i="12"/>
  <c r="B1445" i="12"/>
  <c r="A1445" i="12"/>
  <c r="G1444" i="12"/>
  <c r="F1444" i="12"/>
  <c r="E1444" i="12"/>
  <c r="D1444" i="12"/>
  <c r="C1444" i="12"/>
  <c r="B1444" i="12"/>
  <c r="A1444" i="12"/>
  <c r="G1443" i="12"/>
  <c r="F1443" i="12"/>
  <c r="E1443" i="12"/>
  <c r="D1443" i="12"/>
  <c r="C1443" i="12"/>
  <c r="B1443" i="12"/>
  <c r="A1443" i="12"/>
  <c r="G1442" i="12"/>
  <c r="F1442" i="12"/>
  <c r="E1442" i="12"/>
  <c r="D1442" i="12"/>
  <c r="C1442" i="12"/>
  <c r="B1442" i="12"/>
  <c r="A1442" i="12"/>
  <c r="G1441" i="12"/>
  <c r="F1441" i="12"/>
  <c r="E1441" i="12"/>
  <c r="D1441" i="12"/>
  <c r="C1441" i="12"/>
  <c r="B1441" i="12"/>
  <c r="A1441" i="12"/>
  <c r="G1440" i="12"/>
  <c r="F1440" i="12"/>
  <c r="E1440" i="12"/>
  <c r="D1440" i="12"/>
  <c r="C1440" i="12"/>
  <c r="B1440" i="12"/>
  <c r="A1440" i="12"/>
  <c r="G1439" i="12"/>
  <c r="F1439" i="12"/>
  <c r="E1439" i="12"/>
  <c r="D1439" i="12"/>
  <c r="C1439" i="12"/>
  <c r="B1439" i="12"/>
  <c r="A1439" i="12"/>
  <c r="G1438" i="12"/>
  <c r="F1438" i="12"/>
  <c r="E1438" i="12"/>
  <c r="D1438" i="12"/>
  <c r="C1438" i="12"/>
  <c r="B1438" i="12"/>
  <c r="A1438" i="12"/>
  <c r="G1437" i="12"/>
  <c r="F1437" i="12"/>
  <c r="E1437" i="12"/>
  <c r="D1437" i="12"/>
  <c r="C1437" i="12"/>
  <c r="B1437" i="12"/>
  <c r="A1437" i="12"/>
  <c r="G1436" i="12"/>
  <c r="F1436" i="12"/>
  <c r="E1436" i="12"/>
  <c r="D1436" i="12"/>
  <c r="C1436" i="12"/>
  <c r="B1436" i="12"/>
  <c r="A1436" i="12"/>
  <c r="G1435" i="12"/>
  <c r="F1435" i="12"/>
  <c r="E1435" i="12"/>
  <c r="D1435" i="12"/>
  <c r="C1435" i="12"/>
  <c r="B1435" i="12"/>
  <c r="A1435" i="12"/>
  <c r="G1434" i="12"/>
  <c r="F1434" i="12"/>
  <c r="E1434" i="12"/>
  <c r="D1434" i="12"/>
  <c r="C1434" i="12"/>
  <c r="B1434" i="12"/>
  <c r="A1434" i="12"/>
  <c r="G1433" i="12"/>
  <c r="F1433" i="12"/>
  <c r="E1433" i="12"/>
  <c r="D1433" i="12"/>
  <c r="C1433" i="12"/>
  <c r="B1433" i="12"/>
  <c r="A1433" i="12"/>
  <c r="G1432" i="12"/>
  <c r="F1432" i="12"/>
  <c r="E1432" i="12"/>
  <c r="D1432" i="12"/>
  <c r="C1432" i="12"/>
  <c r="B1432" i="12"/>
  <c r="A1432" i="12"/>
  <c r="G1431" i="12"/>
  <c r="F1431" i="12"/>
  <c r="E1431" i="12"/>
  <c r="D1431" i="12"/>
  <c r="C1431" i="12"/>
  <c r="B1431" i="12"/>
  <c r="A1431" i="12"/>
  <c r="G1430" i="12"/>
  <c r="F1430" i="12"/>
  <c r="E1430" i="12"/>
  <c r="D1430" i="12"/>
  <c r="C1430" i="12"/>
  <c r="B1430" i="12"/>
  <c r="A1430" i="12"/>
  <c r="G1429" i="12"/>
  <c r="F1429" i="12"/>
  <c r="E1429" i="12"/>
  <c r="D1429" i="12"/>
  <c r="C1429" i="12"/>
  <c r="B1429" i="12"/>
  <c r="A1429" i="12"/>
  <c r="G1428" i="12"/>
  <c r="F1428" i="12"/>
  <c r="E1428" i="12"/>
  <c r="D1428" i="12"/>
  <c r="C1428" i="12"/>
  <c r="B1428" i="12"/>
  <c r="A1428" i="12"/>
  <c r="G1427" i="12"/>
  <c r="F1427" i="12"/>
  <c r="E1427" i="12"/>
  <c r="D1427" i="12"/>
  <c r="C1427" i="12"/>
  <c r="B1427" i="12"/>
  <c r="A1427" i="12"/>
  <c r="G1426" i="12"/>
  <c r="F1426" i="12"/>
  <c r="E1426" i="12"/>
  <c r="D1426" i="12"/>
  <c r="C1426" i="12"/>
  <c r="B1426" i="12"/>
  <c r="A1426" i="12"/>
  <c r="G1425" i="12"/>
  <c r="F1425" i="12"/>
  <c r="E1425" i="12"/>
  <c r="D1425" i="12"/>
  <c r="C1425" i="12"/>
  <c r="B1425" i="12"/>
  <c r="A1425" i="12"/>
  <c r="G1424" i="12"/>
  <c r="F1424" i="12"/>
  <c r="E1424" i="12"/>
  <c r="D1424" i="12"/>
  <c r="C1424" i="12"/>
  <c r="B1424" i="12"/>
  <c r="A1424" i="12"/>
  <c r="G1423" i="12"/>
  <c r="F1423" i="12"/>
  <c r="E1423" i="12"/>
  <c r="D1423" i="12"/>
  <c r="C1423" i="12"/>
  <c r="B1423" i="12"/>
  <c r="A1423" i="12"/>
  <c r="G1422" i="12"/>
  <c r="F1422" i="12"/>
  <c r="E1422" i="12"/>
  <c r="D1422" i="12"/>
  <c r="C1422" i="12"/>
  <c r="B1422" i="12"/>
  <c r="A1422" i="12"/>
  <c r="G1421" i="12"/>
  <c r="F1421" i="12"/>
  <c r="E1421" i="12"/>
  <c r="D1421" i="12"/>
  <c r="C1421" i="12"/>
  <c r="B1421" i="12"/>
  <c r="A1421" i="12"/>
  <c r="G1420" i="12"/>
  <c r="F1420" i="12"/>
  <c r="E1420" i="12"/>
  <c r="D1420" i="12"/>
  <c r="C1420" i="12"/>
  <c r="B1420" i="12"/>
  <c r="A1420" i="12"/>
  <c r="G1419" i="12"/>
  <c r="F1419" i="12"/>
  <c r="E1419" i="12"/>
  <c r="D1419" i="12"/>
  <c r="C1419" i="12"/>
  <c r="B1419" i="12"/>
  <c r="A1419" i="12"/>
  <c r="G1418" i="12"/>
  <c r="F1418" i="12"/>
  <c r="E1418" i="12"/>
  <c r="D1418" i="12"/>
  <c r="C1418" i="12"/>
  <c r="B1418" i="12"/>
  <c r="A1418" i="12"/>
  <c r="G1417" i="12"/>
  <c r="F1417" i="12"/>
  <c r="E1417" i="12"/>
  <c r="D1417" i="12"/>
  <c r="C1417" i="12"/>
  <c r="B1417" i="12"/>
  <c r="A1417" i="12"/>
  <c r="G1416" i="12"/>
  <c r="F1416" i="12"/>
  <c r="E1416" i="12"/>
  <c r="D1416" i="12"/>
  <c r="C1416" i="12"/>
  <c r="B1416" i="12"/>
  <c r="A1416" i="12"/>
  <c r="G1415" i="12"/>
  <c r="F1415" i="12"/>
  <c r="E1415" i="12"/>
  <c r="D1415" i="12"/>
  <c r="C1415" i="12"/>
  <c r="B1415" i="12"/>
  <c r="A1415" i="12"/>
  <c r="G1414" i="12"/>
  <c r="F1414" i="12"/>
  <c r="E1414" i="12"/>
  <c r="D1414" i="12"/>
  <c r="C1414" i="12"/>
  <c r="B1414" i="12"/>
  <c r="A1414" i="12"/>
  <c r="G1413" i="12"/>
  <c r="F1413" i="12"/>
  <c r="E1413" i="12"/>
  <c r="D1413" i="12"/>
  <c r="C1413" i="12"/>
  <c r="B1413" i="12"/>
  <c r="A1413" i="12"/>
  <c r="G1412" i="12"/>
  <c r="F1412" i="12"/>
  <c r="E1412" i="12"/>
  <c r="D1412" i="12"/>
  <c r="C1412" i="12"/>
  <c r="B1412" i="12"/>
  <c r="A1412" i="12"/>
  <c r="G1411" i="12"/>
  <c r="F1411" i="12"/>
  <c r="E1411" i="12"/>
  <c r="D1411" i="12"/>
  <c r="C1411" i="12"/>
  <c r="B1411" i="12"/>
  <c r="A1411" i="12"/>
  <c r="G1410" i="12"/>
  <c r="F1410" i="12"/>
  <c r="E1410" i="12"/>
  <c r="D1410" i="12"/>
  <c r="C1410" i="12"/>
  <c r="B1410" i="12"/>
  <c r="A1410" i="12"/>
  <c r="G1409" i="12"/>
  <c r="F1409" i="12"/>
  <c r="E1409" i="12"/>
  <c r="D1409" i="12"/>
  <c r="C1409" i="12"/>
  <c r="B1409" i="12"/>
  <c r="A1409" i="12"/>
  <c r="G1408" i="12"/>
  <c r="F1408" i="12"/>
  <c r="E1408" i="12"/>
  <c r="D1408" i="12"/>
  <c r="C1408" i="12"/>
  <c r="B1408" i="12"/>
  <c r="A1408" i="12"/>
  <c r="G1407" i="12"/>
  <c r="F1407" i="12"/>
  <c r="E1407" i="12"/>
  <c r="D1407" i="12"/>
  <c r="C1407" i="12"/>
  <c r="B1407" i="12"/>
  <c r="A1407" i="12"/>
  <c r="G1406" i="12"/>
  <c r="F1406" i="12"/>
  <c r="E1406" i="12"/>
  <c r="D1406" i="12"/>
  <c r="C1406" i="12"/>
  <c r="B1406" i="12"/>
  <c r="A1406" i="12"/>
  <c r="G1405" i="12"/>
  <c r="F1405" i="12"/>
  <c r="E1405" i="12"/>
  <c r="D1405" i="12"/>
  <c r="C1405" i="12"/>
  <c r="B1405" i="12"/>
  <c r="A1405" i="12"/>
  <c r="G1404" i="12"/>
  <c r="F1404" i="12"/>
  <c r="E1404" i="12"/>
  <c r="D1404" i="12"/>
  <c r="C1404" i="12"/>
  <c r="B1404" i="12"/>
  <c r="A1404" i="12"/>
  <c r="G1403" i="12"/>
  <c r="F1403" i="12"/>
  <c r="E1403" i="12"/>
  <c r="D1403" i="12"/>
  <c r="C1403" i="12"/>
  <c r="B1403" i="12"/>
  <c r="A1403" i="12"/>
  <c r="G1402" i="12"/>
  <c r="F1402" i="12"/>
  <c r="E1402" i="12"/>
  <c r="D1402" i="12"/>
  <c r="C1402" i="12"/>
  <c r="B1402" i="12"/>
  <c r="A1402" i="12"/>
  <c r="G1401" i="12"/>
  <c r="F1401" i="12"/>
  <c r="E1401" i="12"/>
  <c r="D1401" i="12"/>
  <c r="C1401" i="12"/>
  <c r="B1401" i="12"/>
  <c r="A1401" i="12"/>
  <c r="G1400" i="12"/>
  <c r="F1400" i="12"/>
  <c r="E1400" i="12"/>
  <c r="D1400" i="12"/>
  <c r="C1400" i="12"/>
  <c r="B1400" i="12"/>
  <c r="A1400" i="12"/>
  <c r="G1399" i="12"/>
  <c r="F1399" i="12"/>
  <c r="E1399" i="12"/>
  <c r="D1399" i="12"/>
  <c r="C1399" i="12"/>
  <c r="B1399" i="12"/>
  <c r="A1399" i="12"/>
  <c r="G1398" i="12"/>
  <c r="F1398" i="12"/>
  <c r="E1398" i="12"/>
  <c r="D1398" i="12"/>
  <c r="C1398" i="12"/>
  <c r="B1398" i="12"/>
  <c r="A1398" i="12"/>
  <c r="G1397" i="12"/>
  <c r="F1397" i="12"/>
  <c r="E1397" i="12"/>
  <c r="D1397" i="12"/>
  <c r="C1397" i="12"/>
  <c r="B1397" i="12"/>
  <c r="A1397" i="12"/>
  <c r="G1396" i="12"/>
  <c r="F1396" i="12"/>
  <c r="E1396" i="12"/>
  <c r="D1396" i="12"/>
  <c r="C1396" i="12"/>
  <c r="B1396" i="12"/>
  <c r="A1396" i="12"/>
  <c r="G1395" i="12"/>
  <c r="F1395" i="12"/>
  <c r="E1395" i="12"/>
  <c r="D1395" i="12"/>
  <c r="C1395" i="12"/>
  <c r="B1395" i="12"/>
  <c r="A1395" i="12"/>
  <c r="G1394" i="12"/>
  <c r="F1394" i="12"/>
  <c r="E1394" i="12"/>
  <c r="D1394" i="12"/>
  <c r="C1394" i="12"/>
  <c r="B1394" i="12"/>
  <c r="A1394" i="12"/>
  <c r="G1393" i="12"/>
  <c r="F1393" i="12"/>
  <c r="E1393" i="12"/>
  <c r="D1393" i="12"/>
  <c r="C1393" i="12"/>
  <c r="B1393" i="12"/>
  <c r="A1393" i="12"/>
  <c r="G1392" i="12"/>
  <c r="F1392" i="12"/>
  <c r="E1392" i="12"/>
  <c r="D1392" i="12"/>
  <c r="C1392" i="12"/>
  <c r="B1392" i="12"/>
  <c r="A1392" i="12"/>
  <c r="G1391" i="12"/>
  <c r="F1391" i="12"/>
  <c r="E1391" i="12"/>
  <c r="D1391" i="12"/>
  <c r="C1391" i="12"/>
  <c r="B1391" i="12"/>
  <c r="A1391" i="12"/>
  <c r="G1390" i="12"/>
  <c r="F1390" i="12"/>
  <c r="E1390" i="12"/>
  <c r="D1390" i="12"/>
  <c r="C1390" i="12"/>
  <c r="B1390" i="12"/>
  <c r="A1390" i="12"/>
  <c r="G1389" i="12"/>
  <c r="F1389" i="12"/>
  <c r="E1389" i="12"/>
  <c r="D1389" i="12"/>
  <c r="C1389" i="12"/>
  <c r="B1389" i="12"/>
  <c r="A1389" i="12"/>
  <c r="G1388" i="12"/>
  <c r="F1388" i="12"/>
  <c r="E1388" i="12"/>
  <c r="D1388" i="12"/>
  <c r="C1388" i="12"/>
  <c r="B1388" i="12"/>
  <c r="A1388" i="12"/>
  <c r="G1387" i="12"/>
  <c r="F1387" i="12"/>
  <c r="E1387" i="12"/>
  <c r="D1387" i="12"/>
  <c r="C1387" i="12"/>
  <c r="B1387" i="12"/>
  <c r="A1387" i="12"/>
  <c r="G1386" i="12"/>
  <c r="F1386" i="12"/>
  <c r="E1386" i="12"/>
  <c r="D1386" i="12"/>
  <c r="C1386" i="12"/>
  <c r="B1386" i="12"/>
  <c r="A1386" i="12"/>
  <c r="G1385" i="12"/>
  <c r="F1385" i="12"/>
  <c r="E1385" i="12"/>
  <c r="D1385" i="12"/>
  <c r="C1385" i="12"/>
  <c r="B1385" i="12"/>
  <c r="A1385" i="12"/>
  <c r="G1384" i="12"/>
  <c r="F1384" i="12"/>
  <c r="E1384" i="12"/>
  <c r="D1384" i="12"/>
  <c r="C1384" i="12"/>
  <c r="B1384" i="12"/>
  <c r="A1384" i="12"/>
  <c r="G1383" i="12"/>
  <c r="F1383" i="12"/>
  <c r="E1383" i="12"/>
  <c r="D1383" i="12"/>
  <c r="C1383" i="12"/>
  <c r="B1383" i="12"/>
  <c r="A1383" i="12"/>
  <c r="G1382" i="12"/>
  <c r="F1382" i="12"/>
  <c r="E1382" i="12"/>
  <c r="D1382" i="12"/>
  <c r="C1382" i="12"/>
  <c r="B1382" i="12"/>
  <c r="A1382" i="12"/>
  <c r="G1381" i="12"/>
  <c r="F1381" i="12"/>
  <c r="E1381" i="12"/>
  <c r="D1381" i="12"/>
  <c r="C1381" i="12"/>
  <c r="B1381" i="12"/>
  <c r="A1381" i="12"/>
  <c r="G1380" i="12"/>
  <c r="F1380" i="12"/>
  <c r="E1380" i="12"/>
  <c r="D1380" i="12"/>
  <c r="C1380" i="12"/>
  <c r="B1380" i="12"/>
  <c r="A1380" i="12"/>
  <c r="G1379" i="12"/>
  <c r="F1379" i="12"/>
  <c r="E1379" i="12"/>
  <c r="D1379" i="12"/>
  <c r="C1379" i="12"/>
  <c r="B1379" i="12"/>
  <c r="A1379" i="12"/>
  <c r="G1378" i="12"/>
  <c r="F1378" i="12"/>
  <c r="E1378" i="12"/>
  <c r="D1378" i="12"/>
  <c r="C1378" i="12"/>
  <c r="B1378" i="12"/>
  <c r="A1378" i="12"/>
  <c r="G1377" i="12"/>
  <c r="F1377" i="12"/>
  <c r="E1377" i="12"/>
  <c r="D1377" i="12"/>
  <c r="C1377" i="12"/>
  <c r="B1377" i="12"/>
  <c r="A1377" i="12"/>
  <c r="G1376" i="12"/>
  <c r="F1376" i="12"/>
  <c r="E1376" i="12"/>
  <c r="D1376" i="12"/>
  <c r="C1376" i="12"/>
  <c r="B1376" i="12"/>
  <c r="A1376" i="12"/>
  <c r="G1375" i="12"/>
  <c r="F1375" i="12"/>
  <c r="E1375" i="12"/>
  <c r="D1375" i="12"/>
  <c r="C1375" i="12"/>
  <c r="B1375" i="12"/>
  <c r="A1375" i="12"/>
  <c r="G1374" i="12"/>
  <c r="F1374" i="12"/>
  <c r="E1374" i="12"/>
  <c r="D1374" i="12"/>
  <c r="C1374" i="12"/>
  <c r="B1374" i="12"/>
  <c r="A1374" i="12"/>
  <c r="G1373" i="12"/>
  <c r="F1373" i="12"/>
  <c r="E1373" i="12"/>
  <c r="D1373" i="12"/>
  <c r="C1373" i="12"/>
  <c r="B1373" i="12"/>
  <c r="A1373" i="12"/>
  <c r="G1372" i="12"/>
  <c r="F1372" i="12"/>
  <c r="E1372" i="12"/>
  <c r="D1372" i="12"/>
  <c r="C1372" i="12"/>
  <c r="B1372" i="12"/>
  <c r="A1372" i="12"/>
  <c r="G1371" i="12"/>
  <c r="F1371" i="12"/>
  <c r="E1371" i="12"/>
  <c r="D1371" i="12"/>
  <c r="C1371" i="12"/>
  <c r="B1371" i="12"/>
  <c r="A1371" i="12"/>
  <c r="G1370" i="12"/>
  <c r="F1370" i="12"/>
  <c r="E1370" i="12"/>
  <c r="D1370" i="12"/>
  <c r="C1370" i="12"/>
  <c r="B1370" i="12"/>
  <c r="A1370" i="12"/>
  <c r="G1369" i="12"/>
  <c r="F1369" i="12"/>
  <c r="E1369" i="12"/>
  <c r="D1369" i="12"/>
  <c r="C1369" i="12"/>
  <c r="B1369" i="12"/>
  <c r="A1369" i="12"/>
  <c r="G1368" i="12"/>
  <c r="F1368" i="12"/>
  <c r="E1368" i="12"/>
  <c r="D1368" i="12"/>
  <c r="C1368" i="12"/>
  <c r="B1368" i="12"/>
  <c r="A1368" i="12"/>
  <c r="G1367" i="12"/>
  <c r="F1367" i="12"/>
  <c r="E1367" i="12"/>
  <c r="D1367" i="12"/>
  <c r="C1367" i="12"/>
  <c r="B1367" i="12"/>
  <c r="A1367" i="12"/>
  <c r="G1366" i="12"/>
  <c r="F1366" i="12"/>
  <c r="E1366" i="12"/>
  <c r="D1366" i="12"/>
  <c r="C1366" i="12"/>
  <c r="B1366" i="12"/>
  <c r="A1366" i="12"/>
  <c r="G1365" i="12"/>
  <c r="F1365" i="12"/>
  <c r="E1365" i="12"/>
  <c r="D1365" i="12"/>
  <c r="C1365" i="12"/>
  <c r="B1365" i="12"/>
  <c r="A1365" i="12"/>
  <c r="G1364" i="12"/>
  <c r="F1364" i="12"/>
  <c r="E1364" i="12"/>
  <c r="D1364" i="12"/>
  <c r="C1364" i="12"/>
  <c r="B1364" i="12"/>
  <c r="A1364" i="12"/>
  <c r="G1363" i="12"/>
  <c r="F1363" i="12"/>
  <c r="E1363" i="12"/>
  <c r="D1363" i="12"/>
  <c r="C1363" i="12"/>
  <c r="B1363" i="12"/>
  <c r="A1363" i="12"/>
  <c r="G1362" i="12"/>
  <c r="F1362" i="12"/>
  <c r="E1362" i="12"/>
  <c r="D1362" i="12"/>
  <c r="C1362" i="12"/>
  <c r="B1362" i="12"/>
  <c r="A1362" i="12"/>
  <c r="G1361" i="12"/>
  <c r="F1361" i="12"/>
  <c r="E1361" i="12"/>
  <c r="D1361" i="12"/>
  <c r="C1361" i="12"/>
  <c r="B1361" i="12"/>
  <c r="A1361" i="12"/>
  <c r="G1360" i="12"/>
  <c r="F1360" i="12"/>
  <c r="E1360" i="12"/>
  <c r="D1360" i="12"/>
  <c r="C1360" i="12"/>
  <c r="B1360" i="12"/>
  <c r="A1360" i="12"/>
  <c r="G1359" i="12"/>
  <c r="F1359" i="12"/>
  <c r="E1359" i="12"/>
  <c r="D1359" i="12"/>
  <c r="C1359" i="12"/>
  <c r="B1359" i="12"/>
  <c r="A1359" i="12"/>
  <c r="G1358" i="12"/>
  <c r="F1358" i="12"/>
  <c r="E1358" i="12"/>
  <c r="D1358" i="12"/>
  <c r="C1358" i="12"/>
  <c r="B1358" i="12"/>
  <c r="A1358" i="12"/>
  <c r="G1357" i="12"/>
  <c r="F1357" i="12"/>
  <c r="E1357" i="12"/>
  <c r="D1357" i="12"/>
  <c r="C1357" i="12"/>
  <c r="B1357" i="12"/>
  <c r="A1357" i="12"/>
  <c r="G1356" i="12"/>
  <c r="F1356" i="12"/>
  <c r="E1356" i="12"/>
  <c r="D1356" i="12"/>
  <c r="C1356" i="12"/>
  <c r="B1356" i="12"/>
  <c r="A1356" i="12"/>
  <c r="G1355" i="12"/>
  <c r="F1355" i="12"/>
  <c r="E1355" i="12"/>
  <c r="D1355" i="12"/>
  <c r="C1355" i="12"/>
  <c r="B1355" i="12"/>
  <c r="A1355" i="12"/>
  <c r="G1354" i="12"/>
  <c r="F1354" i="12"/>
  <c r="E1354" i="12"/>
  <c r="D1354" i="12"/>
  <c r="C1354" i="12"/>
  <c r="B1354" i="12"/>
  <c r="A1354" i="12"/>
  <c r="G1353" i="12"/>
  <c r="F1353" i="12"/>
  <c r="E1353" i="12"/>
  <c r="D1353" i="12"/>
  <c r="C1353" i="12"/>
  <c r="B1353" i="12"/>
  <c r="A1353" i="12"/>
  <c r="G1352" i="12"/>
  <c r="F1352" i="12"/>
  <c r="E1352" i="12"/>
  <c r="D1352" i="12"/>
  <c r="C1352" i="12"/>
  <c r="B1352" i="12"/>
  <c r="A1352" i="12"/>
  <c r="G1351" i="12"/>
  <c r="F1351" i="12"/>
  <c r="E1351" i="12"/>
  <c r="D1351" i="12"/>
  <c r="C1351" i="12"/>
  <c r="B1351" i="12"/>
  <c r="A1351" i="12"/>
  <c r="G1350" i="12"/>
  <c r="F1350" i="12"/>
  <c r="E1350" i="12"/>
  <c r="D1350" i="12"/>
  <c r="C1350" i="12"/>
  <c r="B1350" i="12"/>
  <c r="A1350" i="12"/>
  <c r="G1349" i="12"/>
  <c r="F1349" i="12"/>
  <c r="E1349" i="12"/>
  <c r="D1349" i="12"/>
  <c r="C1349" i="12"/>
  <c r="B1349" i="12"/>
  <c r="A1349" i="12"/>
  <c r="G1348" i="12"/>
  <c r="F1348" i="12"/>
  <c r="E1348" i="12"/>
  <c r="D1348" i="12"/>
  <c r="C1348" i="12"/>
  <c r="B1348" i="12"/>
  <c r="A1348" i="12"/>
  <c r="G1347" i="12"/>
  <c r="F1347" i="12"/>
  <c r="E1347" i="12"/>
  <c r="D1347" i="12"/>
  <c r="C1347" i="12"/>
  <c r="B1347" i="12"/>
  <c r="A1347" i="12"/>
  <c r="G1346" i="12"/>
  <c r="F1346" i="12"/>
  <c r="E1346" i="12"/>
  <c r="D1346" i="12"/>
  <c r="C1346" i="12"/>
  <c r="B1346" i="12"/>
  <c r="A1346" i="12"/>
  <c r="G1345" i="12"/>
  <c r="F1345" i="12"/>
  <c r="E1345" i="12"/>
  <c r="D1345" i="12"/>
  <c r="C1345" i="12"/>
  <c r="B1345" i="12"/>
  <c r="A1345" i="12"/>
  <c r="G1344" i="12"/>
  <c r="F1344" i="12"/>
  <c r="E1344" i="12"/>
  <c r="D1344" i="12"/>
  <c r="C1344" i="12"/>
  <c r="B1344" i="12"/>
  <c r="A1344" i="12"/>
  <c r="G1343" i="12"/>
  <c r="F1343" i="12"/>
  <c r="E1343" i="12"/>
  <c r="D1343" i="12"/>
  <c r="C1343" i="12"/>
  <c r="B1343" i="12"/>
  <c r="A1343" i="12"/>
  <c r="G1342" i="12"/>
  <c r="F1342" i="12"/>
  <c r="E1342" i="12"/>
  <c r="D1342" i="12"/>
  <c r="C1342" i="12"/>
  <c r="B1342" i="12"/>
  <c r="A1342" i="12"/>
  <c r="G1341" i="12"/>
  <c r="F1341" i="12"/>
  <c r="E1341" i="12"/>
  <c r="D1341" i="12"/>
  <c r="C1341" i="12"/>
  <c r="B1341" i="12"/>
  <c r="A1341" i="12"/>
  <c r="G1340" i="12"/>
  <c r="F1340" i="12"/>
  <c r="E1340" i="12"/>
  <c r="D1340" i="12"/>
  <c r="C1340" i="12"/>
  <c r="B1340" i="12"/>
  <c r="A1340" i="12"/>
  <c r="G1339" i="12"/>
  <c r="F1339" i="12"/>
  <c r="E1339" i="12"/>
  <c r="D1339" i="12"/>
  <c r="C1339" i="12"/>
  <c r="B1339" i="12"/>
  <c r="A1339" i="12"/>
  <c r="G1338" i="12"/>
  <c r="F1338" i="12"/>
  <c r="E1338" i="12"/>
  <c r="D1338" i="12"/>
  <c r="C1338" i="12"/>
  <c r="B1338" i="12"/>
  <c r="A1338" i="12"/>
  <c r="G1337" i="12"/>
  <c r="F1337" i="12"/>
  <c r="E1337" i="12"/>
  <c r="D1337" i="12"/>
  <c r="C1337" i="12"/>
  <c r="B1337" i="12"/>
  <c r="A1337" i="12"/>
  <c r="G1336" i="12"/>
  <c r="F1336" i="12"/>
  <c r="E1336" i="12"/>
  <c r="D1336" i="12"/>
  <c r="C1336" i="12"/>
  <c r="B1336" i="12"/>
  <c r="A1336" i="12"/>
  <c r="G1335" i="12"/>
  <c r="F1335" i="12"/>
  <c r="E1335" i="12"/>
  <c r="D1335" i="12"/>
  <c r="C1335" i="12"/>
  <c r="B1335" i="12"/>
  <c r="A1335" i="12"/>
  <c r="G1334" i="12"/>
  <c r="F1334" i="12"/>
  <c r="E1334" i="12"/>
  <c r="D1334" i="12"/>
  <c r="C1334" i="12"/>
  <c r="B1334" i="12"/>
  <c r="A1334" i="12"/>
  <c r="G1333" i="12"/>
  <c r="F1333" i="12"/>
  <c r="E1333" i="12"/>
  <c r="D1333" i="12"/>
  <c r="C1333" i="12"/>
  <c r="B1333" i="12"/>
  <c r="A1333" i="12"/>
  <c r="G1332" i="12"/>
  <c r="F1332" i="12"/>
  <c r="E1332" i="12"/>
  <c r="D1332" i="12"/>
  <c r="C1332" i="12"/>
  <c r="B1332" i="12"/>
  <c r="A1332" i="12"/>
  <c r="G1331" i="12"/>
  <c r="F1331" i="12"/>
  <c r="E1331" i="12"/>
  <c r="D1331" i="12"/>
  <c r="C1331" i="12"/>
  <c r="B1331" i="12"/>
  <c r="A1331" i="12"/>
  <c r="G1330" i="12"/>
  <c r="F1330" i="12"/>
  <c r="E1330" i="12"/>
  <c r="D1330" i="12"/>
  <c r="C1330" i="12"/>
  <c r="B1330" i="12"/>
  <c r="A1330" i="12"/>
  <c r="G1329" i="12"/>
  <c r="F1329" i="12"/>
  <c r="E1329" i="12"/>
  <c r="D1329" i="12"/>
  <c r="C1329" i="12"/>
  <c r="B1329" i="12"/>
  <c r="A1329" i="12"/>
  <c r="G1328" i="12"/>
  <c r="F1328" i="12"/>
  <c r="E1328" i="12"/>
  <c r="D1328" i="12"/>
  <c r="C1328" i="12"/>
  <c r="B1328" i="12"/>
  <c r="A1328" i="12"/>
  <c r="G1327" i="12"/>
  <c r="F1327" i="12"/>
  <c r="E1327" i="12"/>
  <c r="D1327" i="12"/>
  <c r="C1327" i="12"/>
  <c r="B1327" i="12"/>
  <c r="A1327" i="12"/>
  <c r="G1326" i="12"/>
  <c r="F1326" i="12"/>
  <c r="E1326" i="12"/>
  <c r="D1326" i="12"/>
  <c r="C1326" i="12"/>
  <c r="B1326" i="12"/>
  <c r="A1326" i="12"/>
  <c r="G1325" i="12"/>
  <c r="F1325" i="12"/>
  <c r="E1325" i="12"/>
  <c r="D1325" i="12"/>
  <c r="C1325" i="12"/>
  <c r="B1325" i="12"/>
  <c r="A1325" i="12"/>
  <c r="G1324" i="12"/>
  <c r="F1324" i="12"/>
  <c r="E1324" i="12"/>
  <c r="D1324" i="12"/>
  <c r="C1324" i="12"/>
  <c r="B1324" i="12"/>
  <c r="A1324" i="12"/>
  <c r="G1323" i="12"/>
  <c r="F1323" i="12"/>
  <c r="E1323" i="12"/>
  <c r="D1323" i="12"/>
  <c r="C1323" i="12"/>
  <c r="B1323" i="12"/>
  <c r="A1323" i="12"/>
  <c r="G1322" i="12"/>
  <c r="F1322" i="12"/>
  <c r="E1322" i="12"/>
  <c r="D1322" i="12"/>
  <c r="C1322" i="12"/>
  <c r="B1322" i="12"/>
  <c r="A1322" i="12"/>
  <c r="G1321" i="12"/>
  <c r="F1321" i="12"/>
  <c r="E1321" i="12"/>
  <c r="D1321" i="12"/>
  <c r="C1321" i="12"/>
  <c r="B1321" i="12"/>
  <c r="A1321" i="12"/>
  <c r="G1320" i="12"/>
  <c r="F1320" i="12"/>
  <c r="E1320" i="12"/>
  <c r="D1320" i="12"/>
  <c r="C1320" i="12"/>
  <c r="B1320" i="12"/>
  <c r="A1320" i="12"/>
  <c r="G1319" i="12"/>
  <c r="F1319" i="12"/>
  <c r="E1319" i="12"/>
  <c r="D1319" i="12"/>
  <c r="C1319" i="12"/>
  <c r="B1319" i="12"/>
  <c r="A1319" i="12"/>
  <c r="G1318" i="12"/>
  <c r="F1318" i="12"/>
  <c r="E1318" i="12"/>
  <c r="D1318" i="12"/>
  <c r="C1318" i="12"/>
  <c r="B1318" i="12"/>
  <c r="A1318" i="12"/>
  <c r="G1317" i="12"/>
  <c r="F1317" i="12"/>
  <c r="E1317" i="12"/>
  <c r="D1317" i="12"/>
  <c r="C1317" i="12"/>
  <c r="B1317" i="12"/>
  <c r="A1317" i="12"/>
  <c r="G1316" i="12"/>
  <c r="F1316" i="12"/>
  <c r="E1316" i="12"/>
  <c r="D1316" i="12"/>
  <c r="C1316" i="12"/>
  <c r="B1316" i="12"/>
  <c r="A1316" i="12"/>
  <c r="G1315" i="12"/>
  <c r="F1315" i="12"/>
  <c r="E1315" i="12"/>
  <c r="D1315" i="12"/>
  <c r="C1315" i="12"/>
  <c r="B1315" i="12"/>
  <c r="A1315" i="12"/>
  <c r="G1314" i="12"/>
  <c r="F1314" i="12"/>
  <c r="E1314" i="12"/>
  <c r="D1314" i="12"/>
  <c r="C1314" i="12"/>
  <c r="B1314" i="12"/>
  <c r="A1314" i="12"/>
  <c r="G1313" i="12"/>
  <c r="F1313" i="12"/>
  <c r="E1313" i="12"/>
  <c r="D1313" i="12"/>
  <c r="C1313" i="12"/>
  <c r="B1313" i="12"/>
  <c r="A1313" i="12"/>
  <c r="G1312" i="12"/>
  <c r="F1312" i="12"/>
  <c r="E1312" i="12"/>
  <c r="D1312" i="12"/>
  <c r="C1312" i="12"/>
  <c r="B1312" i="12"/>
  <c r="A1312" i="12"/>
  <c r="G1311" i="12"/>
  <c r="F1311" i="12"/>
  <c r="E1311" i="12"/>
  <c r="D1311" i="12"/>
  <c r="C1311" i="12"/>
  <c r="B1311" i="12"/>
  <c r="A1311" i="12"/>
  <c r="G1310" i="12"/>
  <c r="F1310" i="12"/>
  <c r="E1310" i="12"/>
  <c r="D1310" i="12"/>
  <c r="C1310" i="12"/>
  <c r="B1310" i="12"/>
  <c r="A1310" i="12"/>
  <c r="G1309" i="12"/>
  <c r="F1309" i="12"/>
  <c r="E1309" i="12"/>
  <c r="D1309" i="12"/>
  <c r="C1309" i="12"/>
  <c r="B1309" i="12"/>
  <c r="A1309" i="12"/>
  <c r="G1308" i="12"/>
  <c r="F1308" i="12"/>
  <c r="E1308" i="12"/>
  <c r="D1308" i="12"/>
  <c r="C1308" i="12"/>
  <c r="B1308" i="12"/>
  <c r="A1308" i="12"/>
  <c r="G1307" i="12"/>
  <c r="F1307" i="12"/>
  <c r="E1307" i="12"/>
  <c r="D1307" i="12"/>
  <c r="C1307" i="12"/>
  <c r="B1307" i="12"/>
  <c r="A1307" i="12"/>
  <c r="G1306" i="12"/>
  <c r="F1306" i="12"/>
  <c r="E1306" i="12"/>
  <c r="D1306" i="12"/>
  <c r="C1306" i="12"/>
  <c r="B1306" i="12"/>
  <c r="A1306" i="12"/>
  <c r="G1305" i="12"/>
  <c r="F1305" i="12"/>
  <c r="E1305" i="12"/>
  <c r="D1305" i="12"/>
  <c r="C1305" i="12"/>
  <c r="B1305" i="12"/>
  <c r="A1305" i="12"/>
  <c r="G1304" i="12"/>
  <c r="F1304" i="12"/>
  <c r="E1304" i="12"/>
  <c r="D1304" i="12"/>
  <c r="C1304" i="12"/>
  <c r="B1304" i="12"/>
  <c r="A1304" i="12"/>
  <c r="G1303" i="12"/>
  <c r="F1303" i="12"/>
  <c r="E1303" i="12"/>
  <c r="D1303" i="12"/>
  <c r="C1303" i="12"/>
  <c r="B1303" i="12"/>
  <c r="A1303" i="12"/>
  <c r="G1302" i="12"/>
  <c r="F1302" i="12"/>
  <c r="E1302" i="12"/>
  <c r="D1302" i="12"/>
  <c r="C1302" i="12"/>
  <c r="B1302" i="12"/>
  <c r="A1302" i="12"/>
  <c r="G1301" i="12"/>
  <c r="F1301" i="12"/>
  <c r="E1301" i="12"/>
  <c r="D1301" i="12"/>
  <c r="C1301" i="12"/>
  <c r="B1301" i="12"/>
  <c r="A1301" i="12"/>
  <c r="G1300" i="12"/>
  <c r="F1300" i="12"/>
  <c r="E1300" i="12"/>
  <c r="D1300" i="12"/>
  <c r="C1300" i="12"/>
  <c r="B1300" i="12"/>
  <c r="A1300" i="12"/>
  <c r="G1299" i="12"/>
  <c r="F1299" i="12"/>
  <c r="E1299" i="12"/>
  <c r="D1299" i="12"/>
  <c r="C1299" i="12"/>
  <c r="B1299" i="12"/>
  <c r="A1299" i="12"/>
  <c r="G1298" i="12"/>
  <c r="F1298" i="12"/>
  <c r="E1298" i="12"/>
  <c r="D1298" i="12"/>
  <c r="C1298" i="12"/>
  <c r="B1298" i="12"/>
  <c r="A1298" i="12"/>
  <c r="G1297" i="12"/>
  <c r="F1297" i="12"/>
  <c r="E1297" i="12"/>
  <c r="D1297" i="12"/>
  <c r="C1297" i="12"/>
  <c r="B1297" i="12"/>
  <c r="A1297" i="12"/>
  <c r="G1296" i="12"/>
  <c r="F1296" i="12"/>
  <c r="E1296" i="12"/>
  <c r="D1296" i="12"/>
  <c r="C1296" i="12"/>
  <c r="B1296" i="12"/>
  <c r="A1296" i="12"/>
  <c r="G1295" i="12"/>
  <c r="F1295" i="12"/>
  <c r="E1295" i="12"/>
  <c r="D1295" i="12"/>
  <c r="C1295" i="12"/>
  <c r="B1295" i="12"/>
  <c r="A1295" i="12"/>
  <c r="G1294" i="12"/>
  <c r="F1294" i="12"/>
  <c r="E1294" i="12"/>
  <c r="D1294" i="12"/>
  <c r="C1294" i="12"/>
  <c r="B1294" i="12"/>
  <c r="A1294" i="12"/>
  <c r="G1293" i="12"/>
  <c r="F1293" i="12"/>
  <c r="E1293" i="12"/>
  <c r="D1293" i="12"/>
  <c r="C1293" i="12"/>
  <c r="B1293" i="12"/>
  <c r="A1293" i="12"/>
  <c r="G1292" i="12"/>
  <c r="F1292" i="12"/>
  <c r="E1292" i="12"/>
  <c r="D1292" i="12"/>
  <c r="C1292" i="12"/>
  <c r="B1292" i="12"/>
  <c r="A1292" i="12"/>
  <c r="G1291" i="12"/>
  <c r="F1291" i="12"/>
  <c r="E1291" i="12"/>
  <c r="D1291" i="12"/>
  <c r="C1291" i="12"/>
  <c r="B1291" i="12"/>
  <c r="A1291" i="12"/>
  <c r="G1290" i="12"/>
  <c r="F1290" i="12"/>
  <c r="E1290" i="12"/>
  <c r="D1290" i="12"/>
  <c r="C1290" i="12"/>
  <c r="B1290" i="12"/>
  <c r="A1290" i="12"/>
  <c r="G1289" i="12"/>
  <c r="F1289" i="12"/>
  <c r="E1289" i="12"/>
  <c r="D1289" i="12"/>
  <c r="C1289" i="12"/>
  <c r="B1289" i="12"/>
  <c r="A1289" i="12"/>
  <c r="G1288" i="12"/>
  <c r="F1288" i="12"/>
  <c r="E1288" i="12"/>
  <c r="D1288" i="12"/>
  <c r="C1288" i="12"/>
  <c r="B1288" i="12"/>
  <c r="A1288" i="12"/>
  <c r="G1287" i="12"/>
  <c r="F1287" i="12"/>
  <c r="E1287" i="12"/>
  <c r="D1287" i="12"/>
  <c r="C1287" i="12"/>
  <c r="B1287" i="12"/>
  <c r="A1287" i="12"/>
  <c r="G1286" i="12"/>
  <c r="F1286" i="12"/>
  <c r="E1286" i="12"/>
  <c r="D1286" i="12"/>
  <c r="C1286" i="12"/>
  <c r="B1286" i="12"/>
  <c r="A1286" i="12"/>
  <c r="G1285" i="12"/>
  <c r="F1285" i="12"/>
  <c r="E1285" i="12"/>
  <c r="D1285" i="12"/>
  <c r="C1285" i="12"/>
  <c r="B1285" i="12"/>
  <c r="A1285" i="12"/>
  <c r="G1284" i="12"/>
  <c r="F1284" i="12"/>
  <c r="E1284" i="12"/>
  <c r="D1284" i="12"/>
  <c r="C1284" i="12"/>
  <c r="B1284" i="12"/>
  <c r="A1284" i="12"/>
  <c r="G1283" i="12"/>
  <c r="F1283" i="12"/>
  <c r="E1283" i="12"/>
  <c r="D1283" i="12"/>
  <c r="C1283" i="12"/>
  <c r="B1283" i="12"/>
  <c r="A1283" i="12"/>
  <c r="G1282" i="12"/>
  <c r="F1282" i="12"/>
  <c r="E1282" i="12"/>
  <c r="D1282" i="12"/>
  <c r="C1282" i="12"/>
  <c r="B1282" i="12"/>
  <c r="A1282" i="12"/>
  <c r="G1281" i="12"/>
  <c r="F1281" i="12"/>
  <c r="E1281" i="12"/>
  <c r="D1281" i="12"/>
  <c r="C1281" i="12"/>
  <c r="B1281" i="12"/>
  <c r="A1281" i="12"/>
  <c r="G1280" i="12"/>
  <c r="F1280" i="12"/>
  <c r="E1280" i="12"/>
  <c r="D1280" i="12"/>
  <c r="C1280" i="12"/>
  <c r="B1280" i="12"/>
  <c r="A1280" i="12"/>
  <c r="G1279" i="12"/>
  <c r="F1279" i="12"/>
  <c r="E1279" i="12"/>
  <c r="D1279" i="12"/>
  <c r="C1279" i="12"/>
  <c r="B1279" i="12"/>
  <c r="A1279" i="12"/>
  <c r="G1278" i="12"/>
  <c r="F1278" i="12"/>
  <c r="E1278" i="12"/>
  <c r="D1278" i="12"/>
  <c r="C1278" i="12"/>
  <c r="B1278" i="12"/>
  <c r="A1278" i="12"/>
  <c r="G1277" i="12"/>
  <c r="F1277" i="12"/>
  <c r="E1277" i="12"/>
  <c r="D1277" i="12"/>
  <c r="C1277" i="12"/>
  <c r="B1277" i="12"/>
  <c r="A1277" i="12"/>
  <c r="G1276" i="12"/>
  <c r="F1276" i="12"/>
  <c r="E1276" i="12"/>
  <c r="D1276" i="12"/>
  <c r="C1276" i="12"/>
  <c r="B1276" i="12"/>
  <c r="A1276" i="12"/>
  <c r="G1275" i="12"/>
  <c r="F1275" i="12"/>
  <c r="E1275" i="12"/>
  <c r="D1275" i="12"/>
  <c r="C1275" i="12"/>
  <c r="B1275" i="12"/>
  <c r="A1275" i="12"/>
  <c r="G1274" i="12"/>
  <c r="F1274" i="12"/>
  <c r="E1274" i="12"/>
  <c r="D1274" i="12"/>
  <c r="C1274" i="12"/>
  <c r="B1274" i="12"/>
  <c r="A1274" i="12"/>
  <c r="G1273" i="12"/>
  <c r="F1273" i="12"/>
  <c r="E1273" i="12"/>
  <c r="D1273" i="12"/>
  <c r="C1273" i="12"/>
  <c r="B1273" i="12"/>
  <c r="A1273" i="12"/>
  <c r="G1272" i="12"/>
  <c r="F1272" i="12"/>
  <c r="E1272" i="12"/>
  <c r="D1272" i="12"/>
  <c r="C1272" i="12"/>
  <c r="B1272" i="12"/>
  <c r="A1272" i="12"/>
  <c r="G1271" i="12"/>
  <c r="F1271" i="12"/>
  <c r="E1271" i="12"/>
  <c r="D1271" i="12"/>
  <c r="C1271" i="12"/>
  <c r="B1271" i="12"/>
  <c r="A1271" i="12"/>
  <c r="G1270" i="12"/>
  <c r="F1270" i="12"/>
  <c r="E1270" i="12"/>
  <c r="D1270" i="12"/>
  <c r="C1270" i="12"/>
  <c r="B1270" i="12"/>
  <c r="A1270" i="12"/>
  <c r="G1269" i="12"/>
  <c r="F1269" i="12"/>
  <c r="E1269" i="12"/>
  <c r="D1269" i="12"/>
  <c r="C1269" i="12"/>
  <c r="B1269" i="12"/>
  <c r="A1269" i="12"/>
  <c r="G1268" i="12"/>
  <c r="F1268" i="12"/>
  <c r="E1268" i="12"/>
  <c r="D1268" i="12"/>
  <c r="C1268" i="12"/>
  <c r="B1268" i="12"/>
  <c r="A1268" i="12"/>
  <c r="G1267" i="12"/>
  <c r="F1267" i="12"/>
  <c r="E1267" i="12"/>
  <c r="D1267" i="12"/>
  <c r="C1267" i="12"/>
  <c r="B1267" i="12"/>
  <c r="A1267" i="12"/>
  <c r="G1266" i="12"/>
  <c r="F1266" i="12"/>
  <c r="E1266" i="12"/>
  <c r="D1266" i="12"/>
  <c r="C1266" i="12"/>
  <c r="B1266" i="12"/>
  <c r="A1266" i="12"/>
  <c r="G1265" i="12"/>
  <c r="F1265" i="12"/>
  <c r="E1265" i="12"/>
  <c r="D1265" i="12"/>
  <c r="C1265" i="12"/>
  <c r="B1265" i="12"/>
  <c r="A1265" i="12"/>
  <c r="G1264" i="12"/>
  <c r="F1264" i="12"/>
  <c r="E1264" i="12"/>
  <c r="D1264" i="12"/>
  <c r="C1264" i="12"/>
  <c r="B1264" i="12"/>
  <c r="A1264" i="12"/>
  <c r="G1263" i="12"/>
  <c r="F1263" i="12"/>
  <c r="E1263" i="12"/>
  <c r="D1263" i="12"/>
  <c r="C1263" i="12"/>
  <c r="B1263" i="12"/>
  <c r="A1263" i="12"/>
  <c r="G1262" i="12"/>
  <c r="F1262" i="12"/>
  <c r="E1262" i="12"/>
  <c r="D1262" i="12"/>
  <c r="C1262" i="12"/>
  <c r="B1262" i="12"/>
  <c r="A1262" i="12"/>
  <c r="G1261" i="12"/>
  <c r="F1261" i="12"/>
  <c r="E1261" i="12"/>
  <c r="D1261" i="12"/>
  <c r="C1261" i="12"/>
  <c r="B1261" i="12"/>
  <c r="A1261" i="12"/>
  <c r="G1260" i="12"/>
  <c r="F1260" i="12"/>
  <c r="E1260" i="12"/>
  <c r="D1260" i="12"/>
  <c r="C1260" i="12"/>
  <c r="B1260" i="12"/>
  <c r="A1260" i="12"/>
  <c r="G1259" i="12"/>
  <c r="F1259" i="12"/>
  <c r="E1259" i="12"/>
  <c r="D1259" i="12"/>
  <c r="C1259" i="12"/>
  <c r="B1259" i="12"/>
  <c r="A1259" i="12"/>
  <c r="G1258" i="12"/>
  <c r="F1258" i="12"/>
  <c r="E1258" i="12"/>
  <c r="D1258" i="12"/>
  <c r="C1258" i="12"/>
  <c r="B1258" i="12"/>
  <c r="A1258" i="12"/>
  <c r="G1257" i="12"/>
  <c r="F1257" i="12"/>
  <c r="E1257" i="12"/>
  <c r="D1257" i="12"/>
  <c r="C1257" i="12"/>
  <c r="B1257" i="12"/>
  <c r="A1257" i="12"/>
  <c r="G1256" i="12"/>
  <c r="F1256" i="12"/>
  <c r="E1256" i="12"/>
  <c r="D1256" i="12"/>
  <c r="C1256" i="12"/>
  <c r="B1256" i="12"/>
  <c r="A1256" i="12"/>
  <c r="G1255" i="12"/>
  <c r="F1255" i="12"/>
  <c r="E1255" i="12"/>
  <c r="D1255" i="12"/>
  <c r="C1255" i="12"/>
  <c r="B1255" i="12"/>
  <c r="A1255" i="12"/>
  <c r="G1254" i="12"/>
  <c r="F1254" i="12"/>
  <c r="E1254" i="12"/>
  <c r="D1254" i="12"/>
  <c r="C1254" i="12"/>
  <c r="B1254" i="12"/>
  <c r="A1254" i="12"/>
  <c r="G1253" i="12"/>
  <c r="F1253" i="12"/>
  <c r="E1253" i="12"/>
  <c r="D1253" i="12"/>
  <c r="C1253" i="12"/>
  <c r="B1253" i="12"/>
  <c r="A1253" i="12"/>
  <c r="G1252" i="12"/>
  <c r="F1252" i="12"/>
  <c r="E1252" i="12"/>
  <c r="D1252" i="12"/>
  <c r="C1252" i="12"/>
  <c r="B1252" i="12"/>
  <c r="A1252" i="12"/>
  <c r="G1251" i="12"/>
  <c r="F1251" i="12"/>
  <c r="E1251" i="12"/>
  <c r="D1251" i="12"/>
  <c r="C1251" i="12"/>
  <c r="B1251" i="12"/>
  <c r="A1251" i="12"/>
  <c r="G1250" i="12"/>
  <c r="F1250" i="12"/>
  <c r="E1250" i="12"/>
  <c r="D1250" i="12"/>
  <c r="C1250" i="12"/>
  <c r="B1250" i="12"/>
  <c r="A1250" i="12"/>
  <c r="G1249" i="12"/>
  <c r="F1249" i="12"/>
  <c r="E1249" i="12"/>
  <c r="D1249" i="12"/>
  <c r="C1249" i="12"/>
  <c r="B1249" i="12"/>
  <c r="A1249" i="12"/>
  <c r="G1248" i="12"/>
  <c r="F1248" i="12"/>
  <c r="E1248" i="12"/>
  <c r="D1248" i="12"/>
  <c r="C1248" i="12"/>
  <c r="B1248" i="12"/>
  <c r="A1248" i="12"/>
  <c r="G1247" i="12"/>
  <c r="F1247" i="12"/>
  <c r="E1247" i="12"/>
  <c r="D1247" i="12"/>
  <c r="C1247" i="12"/>
  <c r="B1247" i="12"/>
  <c r="A1247" i="12"/>
  <c r="G1246" i="12"/>
  <c r="F1246" i="12"/>
  <c r="E1246" i="12"/>
  <c r="D1246" i="12"/>
  <c r="C1246" i="12"/>
  <c r="B1246" i="12"/>
  <c r="A1246" i="12"/>
  <c r="G1245" i="12"/>
  <c r="F1245" i="12"/>
  <c r="E1245" i="12"/>
  <c r="D1245" i="12"/>
  <c r="C1245" i="12"/>
  <c r="B1245" i="12"/>
  <c r="A1245" i="12"/>
  <c r="G1244" i="12"/>
  <c r="F1244" i="12"/>
  <c r="E1244" i="12"/>
  <c r="D1244" i="12"/>
  <c r="C1244" i="12"/>
  <c r="B1244" i="12"/>
  <c r="A1244" i="12"/>
  <c r="G1243" i="12"/>
  <c r="F1243" i="12"/>
  <c r="E1243" i="12"/>
  <c r="D1243" i="12"/>
  <c r="C1243" i="12"/>
  <c r="B1243" i="12"/>
  <c r="A1243" i="12"/>
  <c r="G1242" i="12"/>
  <c r="F1242" i="12"/>
  <c r="E1242" i="12"/>
  <c r="D1242" i="12"/>
  <c r="C1242" i="12"/>
  <c r="B1242" i="12"/>
  <c r="A1242" i="12"/>
  <c r="G1241" i="12"/>
  <c r="F1241" i="12"/>
  <c r="E1241" i="12"/>
  <c r="D1241" i="12"/>
  <c r="C1241" i="12"/>
  <c r="B1241" i="12"/>
  <c r="A1241" i="12"/>
  <c r="G1240" i="12"/>
  <c r="F1240" i="12"/>
  <c r="E1240" i="12"/>
  <c r="D1240" i="12"/>
  <c r="C1240" i="12"/>
  <c r="B1240" i="12"/>
  <c r="A1240" i="12"/>
  <c r="G1239" i="12"/>
  <c r="F1239" i="12"/>
  <c r="E1239" i="12"/>
  <c r="D1239" i="12"/>
  <c r="C1239" i="12"/>
  <c r="B1239" i="12"/>
  <c r="A1239" i="12"/>
  <c r="G1238" i="12"/>
  <c r="F1238" i="12"/>
  <c r="E1238" i="12"/>
  <c r="D1238" i="12"/>
  <c r="C1238" i="12"/>
  <c r="B1238" i="12"/>
  <c r="A1238" i="12"/>
  <c r="G1237" i="12"/>
  <c r="F1237" i="12"/>
  <c r="E1237" i="12"/>
  <c r="D1237" i="12"/>
  <c r="C1237" i="12"/>
  <c r="B1237" i="12"/>
  <c r="A1237" i="12"/>
  <c r="G1236" i="12"/>
  <c r="F1236" i="12"/>
  <c r="E1236" i="12"/>
  <c r="D1236" i="12"/>
  <c r="C1236" i="12"/>
  <c r="B1236" i="12"/>
  <c r="A1236" i="12"/>
  <c r="G1235" i="12"/>
  <c r="F1235" i="12"/>
  <c r="E1235" i="12"/>
  <c r="D1235" i="12"/>
  <c r="C1235" i="12"/>
  <c r="B1235" i="12"/>
  <c r="A1235" i="12"/>
  <c r="G1234" i="12"/>
  <c r="F1234" i="12"/>
  <c r="E1234" i="12"/>
  <c r="D1234" i="12"/>
  <c r="C1234" i="12"/>
  <c r="B1234" i="12"/>
  <c r="A1234" i="12"/>
  <c r="G1233" i="12"/>
  <c r="F1233" i="12"/>
  <c r="E1233" i="12"/>
  <c r="D1233" i="12"/>
  <c r="C1233" i="12"/>
  <c r="B1233" i="12"/>
  <c r="A1233" i="12"/>
  <c r="G1232" i="12"/>
  <c r="F1232" i="12"/>
  <c r="E1232" i="12"/>
  <c r="D1232" i="12"/>
  <c r="C1232" i="12"/>
  <c r="B1232" i="12"/>
  <c r="A1232" i="12"/>
  <c r="G1231" i="12"/>
  <c r="F1231" i="12"/>
  <c r="E1231" i="12"/>
  <c r="D1231" i="12"/>
  <c r="C1231" i="12"/>
  <c r="B1231" i="12"/>
  <c r="A1231" i="12"/>
  <c r="G1230" i="12"/>
  <c r="F1230" i="12"/>
  <c r="E1230" i="12"/>
  <c r="D1230" i="12"/>
  <c r="C1230" i="12"/>
  <c r="B1230" i="12"/>
  <c r="A1230" i="12"/>
  <c r="G1229" i="12"/>
  <c r="F1229" i="12"/>
  <c r="E1229" i="12"/>
  <c r="D1229" i="12"/>
  <c r="C1229" i="12"/>
  <c r="B1229" i="12"/>
  <c r="A1229" i="12"/>
  <c r="G1228" i="12"/>
  <c r="F1228" i="12"/>
  <c r="E1228" i="12"/>
  <c r="D1228" i="12"/>
  <c r="C1228" i="12"/>
  <c r="B1228" i="12"/>
  <c r="A1228" i="12"/>
  <c r="G1227" i="12"/>
  <c r="F1227" i="12"/>
  <c r="E1227" i="12"/>
  <c r="D1227" i="12"/>
  <c r="C1227" i="12"/>
  <c r="B1227" i="12"/>
  <c r="A1227" i="12"/>
  <c r="G1226" i="12"/>
  <c r="F1226" i="12"/>
  <c r="E1226" i="12"/>
  <c r="D1226" i="12"/>
  <c r="C1226" i="12"/>
  <c r="B1226" i="12"/>
  <c r="A1226" i="12"/>
  <c r="G1225" i="12"/>
  <c r="F1225" i="12"/>
  <c r="E1225" i="12"/>
  <c r="D1225" i="12"/>
  <c r="C1225" i="12"/>
  <c r="B1225" i="12"/>
  <c r="A1225" i="12"/>
  <c r="G1224" i="12"/>
  <c r="F1224" i="12"/>
  <c r="E1224" i="12"/>
  <c r="D1224" i="12"/>
  <c r="C1224" i="12"/>
  <c r="B1224" i="12"/>
  <c r="A1224" i="12"/>
  <c r="G1223" i="12"/>
  <c r="F1223" i="12"/>
  <c r="E1223" i="12"/>
  <c r="D1223" i="12"/>
  <c r="C1223" i="12"/>
  <c r="B1223" i="12"/>
  <c r="A1223" i="12"/>
  <c r="G1222" i="12"/>
  <c r="F1222" i="12"/>
  <c r="E1222" i="12"/>
  <c r="D1222" i="12"/>
  <c r="C1222" i="12"/>
  <c r="B1222" i="12"/>
  <c r="A1222" i="12"/>
  <c r="G1221" i="12"/>
  <c r="F1221" i="12"/>
  <c r="E1221" i="12"/>
  <c r="D1221" i="12"/>
  <c r="C1221" i="12"/>
  <c r="B1221" i="12"/>
  <c r="A1221" i="12"/>
  <c r="G1220" i="12"/>
  <c r="F1220" i="12"/>
  <c r="E1220" i="12"/>
  <c r="D1220" i="12"/>
  <c r="C1220" i="12"/>
  <c r="B1220" i="12"/>
  <c r="A1220" i="12"/>
  <c r="G1219" i="12"/>
  <c r="F1219" i="12"/>
  <c r="E1219" i="12"/>
  <c r="D1219" i="12"/>
  <c r="C1219" i="12"/>
  <c r="B1219" i="12"/>
  <c r="A1219" i="12"/>
  <c r="G1218" i="12"/>
  <c r="F1218" i="12"/>
  <c r="E1218" i="12"/>
  <c r="D1218" i="12"/>
  <c r="C1218" i="12"/>
  <c r="B1218" i="12"/>
  <c r="A1218" i="12"/>
  <c r="G1217" i="12"/>
  <c r="F1217" i="12"/>
  <c r="E1217" i="12"/>
  <c r="D1217" i="12"/>
  <c r="C1217" i="12"/>
  <c r="B1217" i="12"/>
  <c r="A1217" i="12"/>
  <c r="G1216" i="12"/>
  <c r="F1216" i="12"/>
  <c r="E1216" i="12"/>
  <c r="D1216" i="12"/>
  <c r="C1216" i="12"/>
  <c r="B1216" i="12"/>
  <c r="A1216" i="12"/>
  <c r="G1215" i="12"/>
  <c r="F1215" i="12"/>
  <c r="E1215" i="12"/>
  <c r="D1215" i="12"/>
  <c r="C1215" i="12"/>
  <c r="B1215" i="12"/>
  <c r="A1215" i="12"/>
  <c r="G1214" i="12"/>
  <c r="F1214" i="12"/>
  <c r="E1214" i="12"/>
  <c r="D1214" i="12"/>
  <c r="C1214" i="12"/>
  <c r="B1214" i="12"/>
  <c r="A1214" i="12"/>
  <c r="G1213" i="12"/>
  <c r="F1213" i="12"/>
  <c r="E1213" i="12"/>
  <c r="D1213" i="12"/>
  <c r="C1213" i="12"/>
  <c r="B1213" i="12"/>
  <c r="A1213" i="12"/>
  <c r="G1212" i="12"/>
  <c r="F1212" i="12"/>
  <c r="E1212" i="12"/>
  <c r="D1212" i="12"/>
  <c r="C1212" i="12"/>
  <c r="B1212" i="12"/>
  <c r="A1212" i="12"/>
  <c r="G1211" i="12"/>
  <c r="F1211" i="12"/>
  <c r="E1211" i="12"/>
  <c r="D1211" i="12"/>
  <c r="C1211" i="12"/>
  <c r="B1211" i="12"/>
  <c r="A1211" i="12"/>
  <c r="G1210" i="12"/>
  <c r="F1210" i="12"/>
  <c r="E1210" i="12"/>
  <c r="D1210" i="12"/>
  <c r="C1210" i="12"/>
  <c r="B1210" i="12"/>
  <c r="A1210" i="12"/>
  <c r="G1209" i="12"/>
  <c r="F1209" i="12"/>
  <c r="E1209" i="12"/>
  <c r="D1209" i="12"/>
  <c r="C1209" i="12"/>
  <c r="B1209" i="12"/>
  <c r="A1209" i="12"/>
  <c r="G1208" i="12"/>
  <c r="F1208" i="12"/>
  <c r="E1208" i="12"/>
  <c r="D1208" i="12"/>
  <c r="C1208" i="12"/>
  <c r="B1208" i="12"/>
  <c r="A1208" i="12"/>
  <c r="G1207" i="12"/>
  <c r="F1207" i="12"/>
  <c r="E1207" i="12"/>
  <c r="D1207" i="12"/>
  <c r="C1207" i="12"/>
  <c r="B1207" i="12"/>
  <c r="A1207" i="12"/>
  <c r="G1206" i="12"/>
  <c r="F1206" i="12"/>
  <c r="E1206" i="12"/>
  <c r="D1206" i="12"/>
  <c r="C1206" i="12"/>
  <c r="B1206" i="12"/>
  <c r="A1206" i="12"/>
  <c r="G1205" i="12"/>
  <c r="F1205" i="12"/>
  <c r="E1205" i="12"/>
  <c r="D1205" i="12"/>
  <c r="C1205" i="12"/>
  <c r="B1205" i="12"/>
  <c r="A1205" i="12"/>
  <c r="G1204" i="12"/>
  <c r="F1204" i="12"/>
  <c r="E1204" i="12"/>
  <c r="D1204" i="12"/>
  <c r="C1204" i="12"/>
  <c r="B1204" i="12"/>
  <c r="A1204" i="12"/>
  <c r="G1203" i="12"/>
  <c r="F1203" i="12"/>
  <c r="E1203" i="12"/>
  <c r="D1203" i="12"/>
  <c r="C1203" i="12"/>
  <c r="B1203" i="12"/>
  <c r="A1203" i="12"/>
  <c r="G1202" i="12"/>
  <c r="F1202" i="12"/>
  <c r="E1202" i="12"/>
  <c r="D1202" i="12"/>
  <c r="C1202" i="12"/>
  <c r="B1202" i="12"/>
  <c r="A1202" i="12"/>
  <c r="G1201" i="12"/>
  <c r="F1201" i="12"/>
  <c r="E1201" i="12"/>
  <c r="D1201" i="12"/>
  <c r="C1201" i="12"/>
  <c r="B1201" i="12"/>
  <c r="A1201" i="12"/>
  <c r="G1200" i="12"/>
  <c r="F1200" i="12"/>
  <c r="E1200" i="12"/>
  <c r="D1200" i="12"/>
  <c r="C1200" i="12"/>
  <c r="B1200" i="12"/>
  <c r="A1200" i="12"/>
  <c r="G1199" i="12"/>
  <c r="F1199" i="12"/>
  <c r="E1199" i="12"/>
  <c r="D1199" i="12"/>
  <c r="C1199" i="12"/>
  <c r="B1199" i="12"/>
  <c r="A1199" i="12"/>
  <c r="G1198" i="12"/>
  <c r="F1198" i="12"/>
  <c r="E1198" i="12"/>
  <c r="D1198" i="12"/>
  <c r="C1198" i="12"/>
  <c r="B1198" i="12"/>
  <c r="A1198" i="12"/>
  <c r="G1197" i="12"/>
  <c r="F1197" i="12"/>
  <c r="E1197" i="12"/>
  <c r="D1197" i="12"/>
  <c r="C1197" i="12"/>
  <c r="B1197" i="12"/>
  <c r="A1197" i="12"/>
  <c r="G1196" i="12"/>
  <c r="F1196" i="12"/>
  <c r="E1196" i="12"/>
  <c r="D1196" i="12"/>
  <c r="C1196" i="12"/>
  <c r="B1196" i="12"/>
  <c r="A1196" i="12"/>
  <c r="G1195" i="12"/>
  <c r="F1195" i="12"/>
  <c r="E1195" i="12"/>
  <c r="D1195" i="12"/>
  <c r="C1195" i="12"/>
  <c r="B1195" i="12"/>
  <c r="A1195" i="12"/>
  <c r="G1194" i="12"/>
  <c r="F1194" i="12"/>
  <c r="E1194" i="12"/>
  <c r="D1194" i="12"/>
  <c r="C1194" i="12"/>
  <c r="B1194" i="12"/>
  <c r="A1194" i="12"/>
  <c r="G1193" i="12"/>
  <c r="F1193" i="12"/>
  <c r="E1193" i="12"/>
  <c r="D1193" i="12"/>
  <c r="C1193" i="12"/>
  <c r="B1193" i="12"/>
  <c r="A1193" i="12"/>
  <c r="G1192" i="12"/>
  <c r="F1192" i="12"/>
  <c r="E1192" i="12"/>
  <c r="D1192" i="12"/>
  <c r="C1192" i="12"/>
  <c r="B1192" i="12"/>
  <c r="A1192" i="12"/>
  <c r="G1191" i="12"/>
  <c r="F1191" i="12"/>
  <c r="E1191" i="12"/>
  <c r="D1191" i="12"/>
  <c r="C1191" i="12"/>
  <c r="B1191" i="12"/>
  <c r="A1191" i="12"/>
  <c r="G1190" i="12"/>
  <c r="F1190" i="12"/>
  <c r="E1190" i="12"/>
  <c r="D1190" i="12"/>
  <c r="C1190" i="12"/>
  <c r="B1190" i="12"/>
  <c r="A1190" i="12"/>
  <c r="G1189" i="12"/>
  <c r="F1189" i="12"/>
  <c r="E1189" i="12"/>
  <c r="D1189" i="12"/>
  <c r="C1189" i="12"/>
  <c r="B1189" i="12"/>
  <c r="A1189" i="12"/>
  <c r="G1188" i="12"/>
  <c r="F1188" i="12"/>
  <c r="E1188" i="12"/>
  <c r="D1188" i="12"/>
  <c r="C1188" i="12"/>
  <c r="B1188" i="12"/>
  <c r="A1188" i="12"/>
  <c r="G1187" i="12"/>
  <c r="F1187" i="12"/>
  <c r="E1187" i="12"/>
  <c r="D1187" i="12"/>
  <c r="C1187" i="12"/>
  <c r="B1187" i="12"/>
  <c r="A1187" i="12"/>
  <c r="G1186" i="12"/>
  <c r="F1186" i="12"/>
  <c r="E1186" i="12"/>
  <c r="D1186" i="12"/>
  <c r="C1186" i="12"/>
  <c r="B1186" i="12"/>
  <c r="A1186" i="12"/>
  <c r="G1185" i="12"/>
  <c r="F1185" i="12"/>
  <c r="E1185" i="12"/>
  <c r="D1185" i="12"/>
  <c r="C1185" i="12"/>
  <c r="B1185" i="12"/>
  <c r="A1185" i="12"/>
  <c r="G1184" i="12"/>
  <c r="F1184" i="12"/>
  <c r="E1184" i="12"/>
  <c r="D1184" i="12"/>
  <c r="C1184" i="12"/>
  <c r="B1184" i="12"/>
  <c r="A1184" i="12"/>
  <c r="G1183" i="12"/>
  <c r="F1183" i="12"/>
  <c r="E1183" i="12"/>
  <c r="D1183" i="12"/>
  <c r="C1183" i="12"/>
  <c r="B1183" i="12"/>
  <c r="A1183" i="12"/>
  <c r="G1182" i="12"/>
  <c r="F1182" i="12"/>
  <c r="E1182" i="12"/>
  <c r="D1182" i="12"/>
  <c r="C1182" i="12"/>
  <c r="B1182" i="12"/>
  <c r="A1182" i="12"/>
  <c r="G1181" i="12"/>
  <c r="F1181" i="12"/>
  <c r="E1181" i="12"/>
  <c r="D1181" i="12"/>
  <c r="C1181" i="12"/>
  <c r="B1181" i="12"/>
  <c r="A1181" i="12"/>
  <c r="G1180" i="12"/>
  <c r="F1180" i="12"/>
  <c r="E1180" i="12"/>
  <c r="D1180" i="12"/>
  <c r="C1180" i="12"/>
  <c r="B1180" i="12"/>
  <c r="A1180" i="12"/>
  <c r="G1179" i="12"/>
  <c r="F1179" i="12"/>
  <c r="E1179" i="12"/>
  <c r="D1179" i="12"/>
  <c r="C1179" i="12"/>
  <c r="B1179" i="12"/>
  <c r="A1179" i="12"/>
  <c r="G1178" i="12"/>
  <c r="F1178" i="12"/>
  <c r="E1178" i="12"/>
  <c r="D1178" i="12"/>
  <c r="C1178" i="12"/>
  <c r="B1178" i="12"/>
  <c r="A1178" i="12"/>
  <c r="G1177" i="12"/>
  <c r="F1177" i="12"/>
  <c r="E1177" i="12"/>
  <c r="D1177" i="12"/>
  <c r="C1177" i="12"/>
  <c r="B1177" i="12"/>
  <c r="A1177" i="12"/>
  <c r="G1176" i="12"/>
  <c r="F1176" i="12"/>
  <c r="E1176" i="12"/>
  <c r="D1176" i="12"/>
  <c r="C1176" i="12"/>
  <c r="B1176" i="12"/>
  <c r="A1176" i="12"/>
  <c r="G1175" i="12"/>
  <c r="F1175" i="12"/>
  <c r="E1175" i="12"/>
  <c r="D1175" i="12"/>
  <c r="C1175" i="12"/>
  <c r="B1175" i="12"/>
  <c r="A1175" i="12"/>
  <c r="G1174" i="12"/>
  <c r="F1174" i="12"/>
  <c r="E1174" i="12"/>
  <c r="D1174" i="12"/>
  <c r="C1174" i="12"/>
  <c r="B1174" i="12"/>
  <c r="A1174" i="12"/>
  <c r="G1173" i="12"/>
  <c r="F1173" i="12"/>
  <c r="E1173" i="12"/>
  <c r="D1173" i="12"/>
  <c r="C1173" i="12"/>
  <c r="B1173" i="12"/>
  <c r="A1173" i="12"/>
  <c r="G1172" i="12"/>
  <c r="F1172" i="12"/>
  <c r="E1172" i="12"/>
  <c r="D1172" i="12"/>
  <c r="C1172" i="12"/>
  <c r="B1172" i="12"/>
  <c r="A1172" i="12"/>
  <c r="G1171" i="12"/>
  <c r="F1171" i="12"/>
  <c r="E1171" i="12"/>
  <c r="D1171" i="12"/>
  <c r="C1171" i="12"/>
  <c r="B1171" i="12"/>
  <c r="A1171" i="12"/>
  <c r="G1170" i="12"/>
  <c r="F1170" i="12"/>
  <c r="E1170" i="12"/>
  <c r="D1170" i="12"/>
  <c r="C1170" i="12"/>
  <c r="B1170" i="12"/>
  <c r="A1170" i="12"/>
  <c r="G1169" i="12"/>
  <c r="F1169" i="12"/>
  <c r="E1169" i="12"/>
  <c r="D1169" i="12"/>
  <c r="C1169" i="12"/>
  <c r="B1169" i="12"/>
  <c r="A1169" i="12"/>
  <c r="G1168" i="12"/>
  <c r="F1168" i="12"/>
  <c r="E1168" i="12"/>
  <c r="D1168" i="12"/>
  <c r="C1168" i="12"/>
  <c r="B1168" i="12"/>
  <c r="A1168" i="12"/>
  <c r="G1167" i="12"/>
  <c r="F1167" i="12"/>
  <c r="E1167" i="12"/>
  <c r="D1167" i="12"/>
  <c r="C1167" i="12"/>
  <c r="B1167" i="12"/>
  <c r="A1167" i="12"/>
  <c r="G1166" i="12"/>
  <c r="F1166" i="12"/>
  <c r="E1166" i="12"/>
  <c r="D1166" i="12"/>
  <c r="C1166" i="12"/>
  <c r="B1166" i="12"/>
  <c r="A1166" i="12"/>
  <c r="G1165" i="12"/>
  <c r="F1165" i="12"/>
  <c r="E1165" i="12"/>
  <c r="D1165" i="12"/>
  <c r="C1165" i="12"/>
  <c r="B1165" i="12"/>
  <c r="A1165" i="12"/>
  <c r="G1164" i="12"/>
  <c r="F1164" i="12"/>
  <c r="E1164" i="12"/>
  <c r="D1164" i="12"/>
  <c r="C1164" i="12"/>
  <c r="B1164" i="12"/>
  <c r="A1164" i="12"/>
  <c r="G1163" i="12"/>
  <c r="F1163" i="12"/>
  <c r="E1163" i="12"/>
  <c r="D1163" i="12"/>
  <c r="C1163" i="12"/>
  <c r="B1163" i="12"/>
  <c r="A1163" i="12"/>
  <c r="G1162" i="12"/>
  <c r="F1162" i="12"/>
  <c r="E1162" i="12"/>
  <c r="D1162" i="12"/>
  <c r="C1162" i="12"/>
  <c r="B1162" i="12"/>
  <c r="A1162" i="12"/>
  <c r="G1161" i="12"/>
  <c r="F1161" i="12"/>
  <c r="E1161" i="12"/>
  <c r="D1161" i="12"/>
  <c r="C1161" i="12"/>
  <c r="B1161" i="12"/>
  <c r="A1161" i="12"/>
  <c r="G1160" i="12"/>
  <c r="F1160" i="12"/>
  <c r="E1160" i="12"/>
  <c r="D1160" i="12"/>
  <c r="C1160" i="12"/>
  <c r="B1160" i="12"/>
  <c r="A1160" i="12"/>
  <c r="G1159" i="12"/>
  <c r="F1159" i="12"/>
  <c r="E1159" i="12"/>
  <c r="D1159" i="12"/>
  <c r="C1159" i="12"/>
  <c r="B1159" i="12"/>
  <c r="A1159" i="12"/>
  <c r="G1158" i="12"/>
  <c r="F1158" i="12"/>
  <c r="E1158" i="12"/>
  <c r="D1158" i="12"/>
  <c r="C1158" i="12"/>
  <c r="B1158" i="12"/>
  <c r="A1158" i="12"/>
  <c r="G1157" i="12"/>
  <c r="F1157" i="12"/>
  <c r="E1157" i="12"/>
  <c r="D1157" i="12"/>
  <c r="C1157" i="12"/>
  <c r="B1157" i="12"/>
  <c r="A1157" i="12"/>
  <c r="G1156" i="12"/>
  <c r="F1156" i="12"/>
  <c r="E1156" i="12"/>
  <c r="D1156" i="12"/>
  <c r="C1156" i="12"/>
  <c r="B1156" i="12"/>
  <c r="A1156" i="12"/>
  <c r="G1155" i="12"/>
  <c r="F1155" i="12"/>
  <c r="E1155" i="12"/>
  <c r="D1155" i="12"/>
  <c r="C1155" i="12"/>
  <c r="B1155" i="12"/>
  <c r="A1155" i="12"/>
  <c r="G1154" i="12"/>
  <c r="F1154" i="12"/>
  <c r="E1154" i="12"/>
  <c r="D1154" i="12"/>
  <c r="C1154" i="12"/>
  <c r="B1154" i="12"/>
  <c r="A1154" i="12"/>
  <c r="G1153" i="12"/>
  <c r="F1153" i="12"/>
  <c r="E1153" i="12"/>
  <c r="D1153" i="12"/>
  <c r="C1153" i="12"/>
  <c r="B1153" i="12"/>
  <c r="A1153" i="12"/>
  <c r="G1152" i="12"/>
  <c r="F1152" i="12"/>
  <c r="E1152" i="12"/>
  <c r="D1152" i="12"/>
  <c r="C1152" i="12"/>
  <c r="B1152" i="12"/>
  <c r="A1152" i="12"/>
  <c r="G1151" i="12"/>
  <c r="F1151" i="12"/>
  <c r="E1151" i="12"/>
  <c r="D1151" i="12"/>
  <c r="C1151" i="12"/>
  <c r="B1151" i="12"/>
  <c r="A1151" i="12"/>
  <c r="G1150" i="12"/>
  <c r="F1150" i="12"/>
  <c r="E1150" i="12"/>
  <c r="D1150" i="12"/>
  <c r="C1150" i="12"/>
  <c r="B1150" i="12"/>
  <c r="A1150" i="12"/>
  <c r="G1149" i="12"/>
  <c r="F1149" i="12"/>
  <c r="E1149" i="12"/>
  <c r="D1149" i="12"/>
  <c r="C1149" i="12"/>
  <c r="B1149" i="12"/>
  <c r="A1149" i="12"/>
  <c r="G1148" i="12"/>
  <c r="F1148" i="12"/>
  <c r="E1148" i="12"/>
  <c r="D1148" i="12"/>
  <c r="C1148" i="12"/>
  <c r="B1148" i="12"/>
  <c r="A1148" i="12"/>
  <c r="G1147" i="12"/>
  <c r="F1147" i="12"/>
  <c r="E1147" i="12"/>
  <c r="D1147" i="12"/>
  <c r="C1147" i="12"/>
  <c r="B1147" i="12"/>
  <c r="A1147" i="12"/>
  <c r="G1146" i="12"/>
  <c r="F1146" i="12"/>
  <c r="E1146" i="12"/>
  <c r="D1146" i="12"/>
  <c r="C1146" i="12"/>
  <c r="B1146" i="12"/>
  <c r="A1146" i="12"/>
  <c r="G1145" i="12"/>
  <c r="F1145" i="12"/>
  <c r="E1145" i="12"/>
  <c r="D1145" i="12"/>
  <c r="C1145" i="12"/>
  <c r="B1145" i="12"/>
  <c r="A1145" i="12"/>
  <c r="G1144" i="12"/>
  <c r="F1144" i="12"/>
  <c r="E1144" i="12"/>
  <c r="D1144" i="12"/>
  <c r="C1144" i="12"/>
  <c r="B1144" i="12"/>
  <c r="A1144" i="12"/>
  <c r="G1143" i="12"/>
  <c r="F1143" i="12"/>
  <c r="E1143" i="12"/>
  <c r="D1143" i="12"/>
  <c r="C1143" i="12"/>
  <c r="B1143" i="12"/>
  <c r="A1143" i="12"/>
  <c r="G1142" i="12"/>
  <c r="F1142" i="12"/>
  <c r="E1142" i="12"/>
  <c r="D1142" i="12"/>
  <c r="C1142" i="12"/>
  <c r="B1142" i="12"/>
  <c r="A1142" i="12"/>
  <c r="G1141" i="12"/>
  <c r="F1141" i="12"/>
  <c r="E1141" i="12"/>
  <c r="D1141" i="12"/>
  <c r="C1141" i="12"/>
  <c r="B1141" i="12"/>
  <c r="A1141" i="12"/>
  <c r="G1140" i="12"/>
  <c r="F1140" i="12"/>
  <c r="E1140" i="12"/>
  <c r="D1140" i="12"/>
  <c r="C1140" i="12"/>
  <c r="B1140" i="12"/>
  <c r="A1140" i="12"/>
  <c r="G1139" i="12"/>
  <c r="F1139" i="12"/>
  <c r="E1139" i="12"/>
  <c r="D1139" i="12"/>
  <c r="C1139" i="12"/>
  <c r="B1139" i="12"/>
  <c r="A1139" i="12"/>
  <c r="G1138" i="12"/>
  <c r="F1138" i="12"/>
  <c r="E1138" i="12"/>
  <c r="D1138" i="12"/>
  <c r="C1138" i="12"/>
  <c r="B1138" i="12"/>
  <c r="A1138" i="12"/>
  <c r="G1137" i="12"/>
  <c r="F1137" i="12"/>
  <c r="E1137" i="12"/>
  <c r="D1137" i="12"/>
  <c r="C1137" i="12"/>
  <c r="B1137" i="12"/>
  <c r="A1137" i="12"/>
  <c r="G1136" i="12"/>
  <c r="F1136" i="12"/>
  <c r="E1136" i="12"/>
  <c r="D1136" i="12"/>
  <c r="C1136" i="12"/>
  <c r="B1136" i="12"/>
  <c r="A1136" i="12"/>
  <c r="G1135" i="12"/>
  <c r="F1135" i="12"/>
  <c r="E1135" i="12"/>
  <c r="D1135" i="12"/>
  <c r="C1135" i="12"/>
  <c r="B1135" i="12"/>
  <c r="A1135" i="12"/>
  <c r="G1134" i="12"/>
  <c r="F1134" i="12"/>
  <c r="E1134" i="12"/>
  <c r="D1134" i="12"/>
  <c r="C1134" i="12"/>
  <c r="B1134" i="12"/>
  <c r="A1134" i="12"/>
  <c r="G1133" i="12"/>
  <c r="F1133" i="12"/>
  <c r="E1133" i="12"/>
  <c r="D1133" i="12"/>
  <c r="C1133" i="12"/>
  <c r="B1133" i="12"/>
  <c r="A1133" i="12"/>
  <c r="G1132" i="12"/>
  <c r="F1132" i="12"/>
  <c r="E1132" i="12"/>
  <c r="D1132" i="12"/>
  <c r="C1132" i="12"/>
  <c r="B1132" i="12"/>
  <c r="A1132" i="12"/>
  <c r="G1131" i="12"/>
  <c r="F1131" i="12"/>
  <c r="E1131" i="12"/>
  <c r="D1131" i="12"/>
  <c r="C1131" i="12"/>
  <c r="B1131" i="12"/>
  <c r="A1131" i="12"/>
  <c r="G1130" i="12"/>
  <c r="F1130" i="12"/>
  <c r="E1130" i="12"/>
  <c r="D1130" i="12"/>
  <c r="C1130" i="12"/>
  <c r="B1130" i="12"/>
  <c r="A1130" i="12"/>
  <c r="G1129" i="12"/>
  <c r="F1129" i="12"/>
  <c r="E1129" i="12"/>
  <c r="D1129" i="12"/>
  <c r="C1129" i="12"/>
  <c r="B1129" i="12"/>
  <c r="A1129" i="12"/>
  <c r="G1128" i="12"/>
  <c r="F1128" i="12"/>
  <c r="E1128" i="12"/>
  <c r="D1128" i="12"/>
  <c r="C1128" i="12"/>
  <c r="B1128" i="12"/>
  <c r="A1128" i="12"/>
  <c r="G1127" i="12"/>
  <c r="F1127" i="12"/>
  <c r="E1127" i="12"/>
  <c r="D1127" i="12"/>
  <c r="C1127" i="12"/>
  <c r="B1127" i="12"/>
  <c r="A1127" i="12"/>
  <c r="G1126" i="12"/>
  <c r="F1126" i="12"/>
  <c r="E1126" i="12"/>
  <c r="D1126" i="12"/>
  <c r="C1126" i="12"/>
  <c r="B1126" i="12"/>
  <c r="A1126" i="12"/>
  <c r="G1125" i="12"/>
  <c r="F1125" i="12"/>
  <c r="E1125" i="12"/>
  <c r="D1125" i="12"/>
  <c r="C1125" i="12"/>
  <c r="B1125" i="12"/>
  <c r="A1125" i="12"/>
  <c r="G1124" i="12"/>
  <c r="F1124" i="12"/>
  <c r="E1124" i="12"/>
  <c r="D1124" i="12"/>
  <c r="C1124" i="12"/>
  <c r="B1124" i="12"/>
  <c r="A1124" i="12"/>
  <c r="G1123" i="12"/>
  <c r="F1123" i="12"/>
  <c r="E1123" i="12"/>
  <c r="D1123" i="12"/>
  <c r="C1123" i="12"/>
  <c r="B1123" i="12"/>
  <c r="A1123" i="12"/>
  <c r="G1122" i="12"/>
  <c r="F1122" i="12"/>
  <c r="E1122" i="12"/>
  <c r="D1122" i="12"/>
  <c r="C1122" i="12"/>
  <c r="B1122" i="12"/>
  <c r="A1122" i="12"/>
  <c r="G1121" i="12"/>
  <c r="F1121" i="12"/>
  <c r="E1121" i="12"/>
  <c r="D1121" i="12"/>
  <c r="C1121" i="12"/>
  <c r="B1121" i="12"/>
  <c r="A1121" i="12"/>
  <c r="G1120" i="12"/>
  <c r="F1120" i="12"/>
  <c r="E1120" i="12"/>
  <c r="D1120" i="12"/>
  <c r="C1120" i="12"/>
  <c r="B1120" i="12"/>
  <c r="A1120" i="12"/>
  <c r="G1119" i="12"/>
  <c r="F1119" i="12"/>
  <c r="E1119" i="12"/>
  <c r="D1119" i="12"/>
  <c r="C1119" i="12"/>
  <c r="B1119" i="12"/>
  <c r="A1119" i="12"/>
  <c r="G1118" i="12"/>
  <c r="F1118" i="12"/>
  <c r="E1118" i="12"/>
  <c r="D1118" i="12"/>
  <c r="C1118" i="12"/>
  <c r="B1118" i="12"/>
  <c r="A1118" i="12"/>
  <c r="G1117" i="12"/>
  <c r="F1117" i="12"/>
  <c r="E1117" i="12"/>
  <c r="D1117" i="12"/>
  <c r="C1117" i="12"/>
  <c r="B1117" i="12"/>
  <c r="A1117" i="12"/>
  <c r="G1116" i="12"/>
  <c r="F1116" i="12"/>
  <c r="E1116" i="12"/>
  <c r="D1116" i="12"/>
  <c r="C1116" i="12"/>
  <c r="B1116" i="12"/>
  <c r="A1116" i="12"/>
  <c r="G1115" i="12"/>
  <c r="F1115" i="12"/>
  <c r="E1115" i="12"/>
  <c r="D1115" i="12"/>
  <c r="C1115" i="12"/>
  <c r="B1115" i="12"/>
  <c r="A1115" i="12"/>
  <c r="G1114" i="12"/>
  <c r="F1114" i="12"/>
  <c r="E1114" i="12"/>
  <c r="D1114" i="12"/>
  <c r="C1114" i="12"/>
  <c r="B1114" i="12"/>
  <c r="A1114" i="12"/>
  <c r="G1113" i="12"/>
  <c r="F1113" i="12"/>
  <c r="E1113" i="12"/>
  <c r="D1113" i="12"/>
  <c r="C1113" i="12"/>
  <c r="B1113" i="12"/>
  <c r="A1113" i="12"/>
  <c r="G1112" i="12"/>
  <c r="F1112" i="12"/>
  <c r="E1112" i="12"/>
  <c r="D1112" i="12"/>
  <c r="C1112" i="12"/>
  <c r="B1112" i="12"/>
  <c r="A1112" i="12"/>
  <c r="G1111" i="12"/>
  <c r="F1111" i="12"/>
  <c r="E1111" i="12"/>
  <c r="D1111" i="12"/>
  <c r="C1111" i="12"/>
  <c r="B1111" i="12"/>
  <c r="A1111" i="12"/>
  <c r="G1110" i="12"/>
  <c r="F1110" i="12"/>
  <c r="E1110" i="12"/>
  <c r="D1110" i="12"/>
  <c r="C1110" i="12"/>
  <c r="B1110" i="12"/>
  <c r="A1110" i="12"/>
  <c r="G1109" i="12"/>
  <c r="F1109" i="12"/>
  <c r="E1109" i="12"/>
  <c r="D1109" i="12"/>
  <c r="C1109" i="12"/>
  <c r="B1109" i="12"/>
  <c r="A1109" i="12"/>
  <c r="G1108" i="12"/>
  <c r="F1108" i="12"/>
  <c r="E1108" i="12"/>
  <c r="D1108" i="12"/>
  <c r="C1108" i="12"/>
  <c r="B1108" i="12"/>
  <c r="A1108" i="12"/>
  <c r="G1107" i="12"/>
  <c r="F1107" i="12"/>
  <c r="E1107" i="12"/>
  <c r="D1107" i="12"/>
  <c r="C1107" i="12"/>
  <c r="B1107" i="12"/>
  <c r="A1107" i="12"/>
  <c r="G1106" i="12"/>
  <c r="F1106" i="12"/>
  <c r="E1106" i="12"/>
  <c r="D1106" i="12"/>
  <c r="C1106" i="12"/>
  <c r="B1106" i="12"/>
  <c r="A1106" i="12"/>
  <c r="G1105" i="12"/>
  <c r="F1105" i="12"/>
  <c r="E1105" i="12"/>
  <c r="D1105" i="12"/>
  <c r="C1105" i="12"/>
  <c r="B1105" i="12"/>
  <c r="A1105" i="12"/>
  <c r="G1104" i="12"/>
  <c r="F1104" i="12"/>
  <c r="E1104" i="12"/>
  <c r="D1104" i="12"/>
  <c r="C1104" i="12"/>
  <c r="B1104" i="12"/>
  <c r="A1104" i="12"/>
  <c r="G1103" i="12"/>
  <c r="F1103" i="12"/>
  <c r="E1103" i="12"/>
  <c r="D1103" i="12"/>
  <c r="C1103" i="12"/>
  <c r="B1103" i="12"/>
  <c r="A1103" i="12"/>
  <c r="G1102" i="12"/>
  <c r="F1102" i="12"/>
  <c r="E1102" i="12"/>
  <c r="D1102" i="12"/>
  <c r="C1102" i="12"/>
  <c r="B1102" i="12"/>
  <c r="A1102" i="12"/>
  <c r="G1101" i="12"/>
  <c r="F1101" i="12"/>
  <c r="E1101" i="12"/>
  <c r="D1101" i="12"/>
  <c r="C1101" i="12"/>
  <c r="B1101" i="12"/>
  <c r="A1101" i="12"/>
  <c r="G1100" i="12"/>
  <c r="F1100" i="12"/>
  <c r="E1100" i="12"/>
  <c r="D1100" i="12"/>
  <c r="C1100" i="12"/>
  <c r="B1100" i="12"/>
  <c r="A1100" i="12"/>
  <c r="G1099" i="12"/>
  <c r="F1099" i="12"/>
  <c r="E1099" i="12"/>
  <c r="D1099" i="12"/>
  <c r="C1099" i="12"/>
  <c r="B1099" i="12"/>
  <c r="A1099" i="12"/>
  <c r="G1098" i="12"/>
  <c r="F1098" i="12"/>
  <c r="E1098" i="12"/>
  <c r="D1098" i="12"/>
  <c r="C1098" i="12"/>
  <c r="B1098" i="12"/>
  <c r="A1098" i="12"/>
  <c r="G1097" i="12"/>
  <c r="F1097" i="12"/>
  <c r="E1097" i="12"/>
  <c r="D1097" i="12"/>
  <c r="C1097" i="12"/>
  <c r="B1097" i="12"/>
  <c r="A1097" i="12"/>
  <c r="G1096" i="12"/>
  <c r="F1096" i="12"/>
  <c r="E1096" i="12"/>
  <c r="D1096" i="12"/>
  <c r="C1096" i="12"/>
  <c r="B1096" i="12"/>
  <c r="A1096" i="12"/>
  <c r="G1095" i="12"/>
  <c r="F1095" i="12"/>
  <c r="E1095" i="12"/>
  <c r="D1095" i="12"/>
  <c r="C1095" i="12"/>
  <c r="B1095" i="12"/>
  <c r="A1095" i="12"/>
  <c r="G1094" i="12"/>
  <c r="F1094" i="12"/>
  <c r="E1094" i="12"/>
  <c r="D1094" i="12"/>
  <c r="C1094" i="12"/>
  <c r="B1094" i="12"/>
  <c r="A1094" i="12"/>
  <c r="G1093" i="12"/>
  <c r="F1093" i="12"/>
  <c r="E1093" i="12"/>
  <c r="D1093" i="12"/>
  <c r="C1093" i="12"/>
  <c r="B1093" i="12"/>
  <c r="A1093" i="12"/>
  <c r="G1092" i="12"/>
  <c r="F1092" i="12"/>
  <c r="E1092" i="12"/>
  <c r="D1092" i="12"/>
  <c r="C1092" i="12"/>
  <c r="B1092" i="12"/>
  <c r="A1092" i="12"/>
  <c r="G1091" i="12"/>
  <c r="F1091" i="12"/>
  <c r="E1091" i="12"/>
  <c r="D1091" i="12"/>
  <c r="C1091" i="12"/>
  <c r="B1091" i="12"/>
  <c r="A1091" i="12"/>
  <c r="G1090" i="12"/>
  <c r="F1090" i="12"/>
  <c r="E1090" i="12"/>
  <c r="D1090" i="12"/>
  <c r="C1090" i="12"/>
  <c r="B1090" i="12"/>
  <c r="A1090" i="12"/>
  <c r="G1089" i="12"/>
  <c r="F1089" i="12"/>
  <c r="E1089" i="12"/>
  <c r="D1089" i="12"/>
  <c r="C1089" i="12"/>
  <c r="B1089" i="12"/>
  <c r="A1089" i="12"/>
  <c r="G1088" i="12"/>
  <c r="F1088" i="12"/>
  <c r="E1088" i="12"/>
  <c r="D1088" i="12"/>
  <c r="C1088" i="12"/>
  <c r="B1088" i="12"/>
  <c r="A1088" i="12"/>
  <c r="G1087" i="12"/>
  <c r="F1087" i="12"/>
  <c r="E1087" i="12"/>
  <c r="D1087" i="12"/>
  <c r="C1087" i="12"/>
  <c r="B1087" i="12"/>
  <c r="A1087" i="12"/>
  <c r="G1086" i="12"/>
  <c r="F1086" i="12"/>
  <c r="E1086" i="12"/>
  <c r="D1086" i="12"/>
  <c r="C1086" i="12"/>
  <c r="B1086" i="12"/>
  <c r="A1086" i="12"/>
  <c r="G1085" i="12"/>
  <c r="F1085" i="12"/>
  <c r="E1085" i="12"/>
  <c r="D1085" i="12"/>
  <c r="C1085" i="12"/>
  <c r="B1085" i="12"/>
  <c r="A1085" i="12"/>
  <c r="G1084" i="12"/>
  <c r="F1084" i="12"/>
  <c r="E1084" i="12"/>
  <c r="D1084" i="12"/>
  <c r="C1084" i="12"/>
  <c r="B1084" i="12"/>
  <c r="A1084" i="12"/>
  <c r="G1083" i="12"/>
  <c r="F1083" i="12"/>
  <c r="E1083" i="12"/>
  <c r="D1083" i="12"/>
  <c r="C1083" i="12"/>
  <c r="B1083" i="12"/>
  <c r="A1083" i="12"/>
  <c r="G1082" i="12"/>
  <c r="F1082" i="12"/>
  <c r="E1082" i="12"/>
  <c r="D1082" i="12"/>
  <c r="C1082" i="12"/>
  <c r="B1082" i="12"/>
  <c r="A1082" i="12"/>
  <c r="G1081" i="12"/>
  <c r="F1081" i="12"/>
  <c r="E1081" i="12"/>
  <c r="D1081" i="12"/>
  <c r="C1081" i="12"/>
  <c r="B1081" i="12"/>
  <c r="A1081" i="12"/>
  <c r="G1080" i="12"/>
  <c r="F1080" i="12"/>
  <c r="E1080" i="12"/>
  <c r="D1080" i="12"/>
  <c r="C1080" i="12"/>
  <c r="B1080" i="12"/>
  <c r="A1080" i="12"/>
  <c r="G1079" i="12"/>
  <c r="F1079" i="12"/>
  <c r="E1079" i="12"/>
  <c r="D1079" i="12"/>
  <c r="C1079" i="12"/>
  <c r="B1079" i="12"/>
  <c r="A1079" i="12"/>
  <c r="G1078" i="12"/>
  <c r="F1078" i="12"/>
  <c r="E1078" i="12"/>
  <c r="D1078" i="12"/>
  <c r="C1078" i="12"/>
  <c r="B1078" i="12"/>
  <c r="A1078" i="12"/>
  <c r="G1077" i="12"/>
  <c r="F1077" i="12"/>
  <c r="E1077" i="12"/>
  <c r="D1077" i="12"/>
  <c r="C1077" i="12"/>
  <c r="B1077" i="12"/>
  <c r="A1077" i="12"/>
  <c r="G1076" i="12"/>
  <c r="F1076" i="12"/>
  <c r="E1076" i="12"/>
  <c r="D1076" i="12"/>
  <c r="C1076" i="12"/>
  <c r="B1076" i="12"/>
  <c r="A1076" i="12"/>
  <c r="G1075" i="12"/>
  <c r="F1075" i="12"/>
  <c r="E1075" i="12"/>
  <c r="D1075" i="12"/>
  <c r="C1075" i="12"/>
  <c r="B1075" i="12"/>
  <c r="A1075" i="12"/>
  <c r="G1074" i="12"/>
  <c r="F1074" i="12"/>
  <c r="E1074" i="12"/>
  <c r="D1074" i="12"/>
  <c r="C1074" i="12"/>
  <c r="B1074" i="12"/>
  <c r="A1074" i="12"/>
  <c r="G1073" i="12"/>
  <c r="F1073" i="12"/>
  <c r="E1073" i="12"/>
  <c r="D1073" i="12"/>
  <c r="C1073" i="12"/>
  <c r="B1073" i="12"/>
  <c r="A1073" i="12"/>
  <c r="G1072" i="12"/>
  <c r="F1072" i="12"/>
  <c r="E1072" i="12"/>
  <c r="D1072" i="12"/>
  <c r="C1072" i="12"/>
  <c r="B1072" i="12"/>
  <c r="A1072" i="12"/>
  <c r="G1071" i="12"/>
  <c r="F1071" i="12"/>
  <c r="E1071" i="12"/>
  <c r="D1071" i="12"/>
  <c r="C1071" i="12"/>
  <c r="B1071" i="12"/>
  <c r="A1071" i="12"/>
  <c r="G1070" i="12"/>
  <c r="F1070" i="12"/>
  <c r="E1070" i="12"/>
  <c r="D1070" i="12"/>
  <c r="C1070" i="12"/>
  <c r="B1070" i="12"/>
  <c r="A1070" i="12"/>
  <c r="G1069" i="12"/>
  <c r="F1069" i="12"/>
  <c r="E1069" i="12"/>
  <c r="D1069" i="12"/>
  <c r="C1069" i="12"/>
  <c r="B1069" i="12"/>
  <c r="A1069" i="12"/>
  <c r="G1068" i="12"/>
  <c r="F1068" i="12"/>
  <c r="E1068" i="12"/>
  <c r="D1068" i="12"/>
  <c r="C1068" i="12"/>
  <c r="B1068" i="12"/>
  <c r="A1068" i="12"/>
  <c r="G1067" i="12"/>
  <c r="F1067" i="12"/>
  <c r="E1067" i="12"/>
  <c r="D1067" i="12"/>
  <c r="C1067" i="12"/>
  <c r="B1067" i="12"/>
  <c r="A1067" i="12"/>
  <c r="G1066" i="12"/>
  <c r="F1066" i="12"/>
  <c r="E1066" i="12"/>
  <c r="D1066" i="12"/>
  <c r="C1066" i="12"/>
  <c r="B1066" i="12"/>
  <c r="A1066" i="12"/>
  <c r="G1065" i="12"/>
  <c r="F1065" i="12"/>
  <c r="E1065" i="12"/>
  <c r="D1065" i="12"/>
  <c r="C1065" i="12"/>
  <c r="B1065" i="12"/>
  <c r="A1065" i="12"/>
  <c r="G1064" i="12"/>
  <c r="F1064" i="12"/>
  <c r="E1064" i="12"/>
  <c r="D1064" i="12"/>
  <c r="C1064" i="12"/>
  <c r="B1064" i="12"/>
  <c r="A1064" i="12"/>
  <c r="G1063" i="12"/>
  <c r="F1063" i="12"/>
  <c r="E1063" i="12"/>
  <c r="D1063" i="12"/>
  <c r="C1063" i="12"/>
  <c r="B1063" i="12"/>
  <c r="A1063" i="12"/>
  <c r="G1062" i="12"/>
  <c r="F1062" i="12"/>
  <c r="E1062" i="12"/>
  <c r="D1062" i="12"/>
  <c r="C1062" i="12"/>
  <c r="B1062" i="12"/>
  <c r="A1062" i="12"/>
  <c r="G1061" i="12"/>
  <c r="F1061" i="12"/>
  <c r="E1061" i="12"/>
  <c r="D1061" i="12"/>
  <c r="C1061" i="12"/>
  <c r="B1061" i="12"/>
  <c r="A1061" i="12"/>
  <c r="G1060" i="12"/>
  <c r="F1060" i="12"/>
  <c r="E1060" i="12"/>
  <c r="D1060" i="12"/>
  <c r="C1060" i="12"/>
  <c r="B1060" i="12"/>
  <c r="A1060" i="12"/>
  <c r="G1059" i="12"/>
  <c r="F1059" i="12"/>
  <c r="E1059" i="12"/>
  <c r="D1059" i="12"/>
  <c r="C1059" i="12"/>
  <c r="B1059" i="12"/>
  <c r="A1059" i="12"/>
  <c r="G1058" i="12"/>
  <c r="F1058" i="12"/>
  <c r="E1058" i="12"/>
  <c r="D1058" i="12"/>
  <c r="C1058" i="12"/>
  <c r="B1058" i="12"/>
  <c r="A1058" i="12"/>
  <c r="G1057" i="12"/>
  <c r="F1057" i="12"/>
  <c r="E1057" i="12"/>
  <c r="D1057" i="12"/>
  <c r="C1057" i="12"/>
  <c r="B1057" i="12"/>
  <c r="A1057" i="12"/>
  <c r="G1056" i="12"/>
  <c r="F1056" i="12"/>
  <c r="E1056" i="12"/>
  <c r="D1056" i="12"/>
  <c r="C1056" i="12"/>
  <c r="B1056" i="12"/>
  <c r="A1056" i="12"/>
  <c r="G1055" i="12"/>
  <c r="F1055" i="12"/>
  <c r="E1055" i="12"/>
  <c r="D1055" i="12"/>
  <c r="C1055" i="12"/>
  <c r="B1055" i="12"/>
  <c r="A1055" i="12"/>
  <c r="G1054" i="12"/>
  <c r="F1054" i="12"/>
  <c r="E1054" i="12"/>
  <c r="D1054" i="12"/>
  <c r="C1054" i="12"/>
  <c r="B1054" i="12"/>
  <c r="A1054" i="12"/>
  <c r="G1053" i="12"/>
  <c r="F1053" i="12"/>
  <c r="E1053" i="12"/>
  <c r="D1053" i="12"/>
  <c r="C1053" i="12"/>
  <c r="B1053" i="12"/>
  <c r="A1053" i="12"/>
  <c r="G1052" i="12"/>
  <c r="F1052" i="12"/>
  <c r="E1052" i="12"/>
  <c r="D1052" i="12"/>
  <c r="C1052" i="12"/>
  <c r="B1052" i="12"/>
  <c r="A1052" i="12"/>
  <c r="G1051" i="12"/>
  <c r="F1051" i="12"/>
  <c r="E1051" i="12"/>
  <c r="D1051" i="12"/>
  <c r="C1051" i="12"/>
  <c r="B1051" i="12"/>
  <c r="A1051" i="12"/>
  <c r="G1050" i="12"/>
  <c r="F1050" i="12"/>
  <c r="E1050" i="12"/>
  <c r="D1050" i="12"/>
  <c r="C1050" i="12"/>
  <c r="B1050" i="12"/>
  <c r="A1050" i="12"/>
  <c r="G1049" i="12"/>
  <c r="F1049" i="12"/>
  <c r="E1049" i="12"/>
  <c r="D1049" i="12"/>
  <c r="C1049" i="12"/>
  <c r="B1049" i="12"/>
  <c r="A1049" i="12"/>
  <c r="G1048" i="12"/>
  <c r="F1048" i="12"/>
  <c r="E1048" i="12"/>
  <c r="D1048" i="12"/>
  <c r="C1048" i="12"/>
  <c r="B1048" i="12"/>
  <c r="A1048" i="12"/>
  <c r="G1047" i="12"/>
  <c r="F1047" i="12"/>
  <c r="E1047" i="12"/>
  <c r="D1047" i="12"/>
  <c r="C1047" i="12"/>
  <c r="B1047" i="12"/>
  <c r="A1047" i="12"/>
  <c r="G1046" i="12"/>
  <c r="F1046" i="12"/>
  <c r="E1046" i="12"/>
  <c r="D1046" i="12"/>
  <c r="C1046" i="12"/>
  <c r="B1046" i="12"/>
  <c r="A1046" i="12"/>
  <c r="G1045" i="12"/>
  <c r="F1045" i="12"/>
  <c r="E1045" i="12"/>
  <c r="D1045" i="12"/>
  <c r="C1045" i="12"/>
  <c r="B1045" i="12"/>
  <c r="A1045" i="12"/>
  <c r="G1044" i="12"/>
  <c r="F1044" i="12"/>
  <c r="E1044" i="12"/>
  <c r="D1044" i="12"/>
  <c r="C1044" i="12"/>
  <c r="B1044" i="12"/>
  <c r="A1044" i="12"/>
  <c r="G1043" i="12"/>
  <c r="F1043" i="12"/>
  <c r="E1043" i="12"/>
  <c r="D1043" i="12"/>
  <c r="C1043" i="12"/>
  <c r="B1043" i="12"/>
  <c r="A1043" i="12"/>
  <c r="G1042" i="12"/>
  <c r="F1042" i="12"/>
  <c r="E1042" i="12"/>
  <c r="D1042" i="12"/>
  <c r="C1042" i="12"/>
  <c r="B1042" i="12"/>
  <c r="A1042" i="12"/>
  <c r="G1041" i="12"/>
  <c r="F1041" i="12"/>
  <c r="E1041" i="12"/>
  <c r="D1041" i="12"/>
  <c r="C1041" i="12"/>
  <c r="B1041" i="12"/>
  <c r="A1041" i="12"/>
  <c r="G1040" i="12"/>
  <c r="F1040" i="12"/>
  <c r="E1040" i="12"/>
  <c r="D1040" i="12"/>
  <c r="C1040" i="12"/>
  <c r="B1040" i="12"/>
  <c r="A1040" i="12"/>
  <c r="G1039" i="12"/>
  <c r="F1039" i="12"/>
  <c r="E1039" i="12"/>
  <c r="D1039" i="12"/>
  <c r="C1039" i="12"/>
  <c r="B1039" i="12"/>
  <c r="A1039" i="12"/>
  <c r="G1038" i="12"/>
  <c r="F1038" i="12"/>
  <c r="E1038" i="12"/>
  <c r="D1038" i="12"/>
  <c r="C1038" i="12"/>
  <c r="B1038" i="12"/>
  <c r="A1038" i="12"/>
  <c r="G1037" i="12"/>
  <c r="F1037" i="12"/>
  <c r="E1037" i="12"/>
  <c r="D1037" i="12"/>
  <c r="C1037" i="12"/>
  <c r="B1037" i="12"/>
  <c r="A1037" i="12"/>
  <c r="G1036" i="12"/>
  <c r="F1036" i="12"/>
  <c r="E1036" i="12"/>
  <c r="D1036" i="12"/>
  <c r="C1036" i="12"/>
  <c r="B1036" i="12"/>
  <c r="A1036" i="12"/>
  <c r="G1035" i="12"/>
  <c r="F1035" i="12"/>
  <c r="E1035" i="12"/>
  <c r="D1035" i="12"/>
  <c r="C1035" i="12"/>
  <c r="B1035" i="12"/>
  <c r="A1035" i="12"/>
  <c r="G1034" i="12"/>
  <c r="F1034" i="12"/>
  <c r="E1034" i="12"/>
  <c r="D1034" i="12"/>
  <c r="C1034" i="12"/>
  <c r="B1034" i="12"/>
  <c r="A1034" i="12"/>
  <c r="G1033" i="12"/>
  <c r="F1033" i="12"/>
  <c r="E1033" i="12"/>
  <c r="D1033" i="12"/>
  <c r="C1033" i="12"/>
  <c r="B1033" i="12"/>
  <c r="A1033" i="12"/>
  <c r="G1032" i="12"/>
  <c r="F1032" i="12"/>
  <c r="E1032" i="12"/>
  <c r="D1032" i="12"/>
  <c r="C1032" i="12"/>
  <c r="B1032" i="12"/>
  <c r="A1032" i="12"/>
  <c r="G1031" i="12"/>
  <c r="F1031" i="12"/>
  <c r="E1031" i="12"/>
  <c r="D1031" i="12"/>
  <c r="C1031" i="12"/>
  <c r="B1031" i="12"/>
  <c r="A1031" i="12"/>
  <c r="G1030" i="12"/>
  <c r="F1030" i="12"/>
  <c r="E1030" i="12"/>
  <c r="D1030" i="12"/>
  <c r="C1030" i="12"/>
  <c r="B1030" i="12"/>
  <c r="A1030" i="12"/>
  <c r="G1029" i="12"/>
  <c r="F1029" i="12"/>
  <c r="E1029" i="12"/>
  <c r="D1029" i="12"/>
  <c r="C1029" i="12"/>
  <c r="B1029" i="12"/>
  <c r="A1029" i="12"/>
  <c r="G1028" i="12"/>
  <c r="F1028" i="12"/>
  <c r="E1028" i="12"/>
  <c r="D1028" i="12"/>
  <c r="C1028" i="12"/>
  <c r="B1028" i="12"/>
  <c r="A1028" i="12"/>
  <c r="G1027" i="12"/>
  <c r="F1027" i="12"/>
  <c r="E1027" i="12"/>
  <c r="D1027" i="12"/>
  <c r="C1027" i="12"/>
  <c r="B1027" i="12"/>
  <c r="A1027" i="12"/>
  <c r="G1026" i="12"/>
  <c r="F1026" i="12"/>
  <c r="E1026" i="12"/>
  <c r="D1026" i="12"/>
  <c r="C1026" i="12"/>
  <c r="B1026" i="12"/>
  <c r="A1026" i="12"/>
  <c r="G1025" i="12"/>
  <c r="F1025" i="12"/>
  <c r="E1025" i="12"/>
  <c r="D1025" i="12"/>
  <c r="C1025" i="12"/>
  <c r="B1025" i="12"/>
  <c r="A1025" i="12"/>
  <c r="G1024" i="12"/>
  <c r="F1024" i="12"/>
  <c r="E1024" i="12"/>
  <c r="D1024" i="12"/>
  <c r="C1024" i="12"/>
  <c r="B1024" i="12"/>
  <c r="A1024" i="12"/>
  <c r="G1023" i="12"/>
  <c r="F1023" i="12"/>
  <c r="E1023" i="12"/>
  <c r="D1023" i="12"/>
  <c r="C1023" i="12"/>
  <c r="B1023" i="12"/>
  <c r="A1023" i="12"/>
  <c r="G1022" i="12"/>
  <c r="F1022" i="12"/>
  <c r="E1022" i="12"/>
  <c r="D1022" i="12"/>
  <c r="C1022" i="12"/>
  <c r="B1022" i="12"/>
  <c r="A1022" i="12"/>
  <c r="G1021" i="12"/>
  <c r="F1021" i="12"/>
  <c r="E1021" i="12"/>
  <c r="D1021" i="12"/>
  <c r="C1021" i="12"/>
  <c r="B1021" i="12"/>
  <c r="A1021" i="12"/>
  <c r="G1020" i="12"/>
  <c r="F1020" i="12"/>
  <c r="E1020" i="12"/>
  <c r="D1020" i="12"/>
  <c r="C1020" i="12"/>
  <c r="B1020" i="12"/>
  <c r="A1020" i="12"/>
  <c r="G1019" i="12"/>
  <c r="F1019" i="12"/>
  <c r="E1019" i="12"/>
  <c r="D1019" i="12"/>
  <c r="C1019" i="12"/>
  <c r="B1019" i="12"/>
  <c r="A1019" i="12"/>
  <c r="G1018" i="12"/>
  <c r="F1018" i="12"/>
  <c r="E1018" i="12"/>
  <c r="D1018" i="12"/>
  <c r="C1018" i="12"/>
  <c r="B1018" i="12"/>
  <c r="A1018" i="12"/>
  <c r="G1017" i="12"/>
  <c r="F1017" i="12"/>
  <c r="E1017" i="12"/>
  <c r="D1017" i="12"/>
  <c r="C1017" i="12"/>
  <c r="B1017" i="12"/>
  <c r="A1017" i="12"/>
  <c r="G1016" i="12"/>
  <c r="F1016" i="12"/>
  <c r="E1016" i="12"/>
  <c r="D1016" i="12"/>
  <c r="C1016" i="12"/>
  <c r="B1016" i="12"/>
  <c r="A1016" i="12"/>
  <c r="G1015" i="12"/>
  <c r="F1015" i="12"/>
  <c r="E1015" i="12"/>
  <c r="D1015" i="12"/>
  <c r="C1015" i="12"/>
  <c r="B1015" i="12"/>
  <c r="A1015" i="12"/>
  <c r="G1014" i="12"/>
  <c r="F1014" i="12"/>
  <c r="E1014" i="12"/>
  <c r="D1014" i="12"/>
  <c r="C1014" i="12"/>
  <c r="B1014" i="12"/>
  <c r="A1014" i="12"/>
  <c r="G1013" i="12"/>
  <c r="F1013" i="12"/>
  <c r="E1013" i="12"/>
  <c r="D1013" i="12"/>
  <c r="C1013" i="12"/>
  <c r="B1013" i="12"/>
  <c r="A1013" i="12"/>
  <c r="G1012" i="12"/>
  <c r="F1012" i="12"/>
  <c r="E1012" i="12"/>
  <c r="D1012" i="12"/>
  <c r="C1012" i="12"/>
  <c r="B1012" i="12"/>
  <c r="A1012" i="12"/>
  <c r="G1011" i="12"/>
  <c r="F1011" i="12"/>
  <c r="E1011" i="12"/>
  <c r="D1011" i="12"/>
  <c r="C1011" i="12"/>
  <c r="B1011" i="12"/>
  <c r="A1011" i="12"/>
  <c r="G1010" i="12"/>
  <c r="F1010" i="12"/>
  <c r="E1010" i="12"/>
  <c r="D1010" i="12"/>
  <c r="C1010" i="12"/>
  <c r="B1010" i="12"/>
  <c r="A1010" i="12"/>
  <c r="G1009" i="12"/>
  <c r="F1009" i="12"/>
  <c r="E1009" i="12"/>
  <c r="D1009" i="12"/>
  <c r="C1009" i="12"/>
  <c r="B1009" i="12"/>
  <c r="A1009" i="12"/>
  <c r="G1008" i="12"/>
  <c r="F1008" i="12"/>
  <c r="E1008" i="12"/>
  <c r="D1008" i="12"/>
  <c r="C1008" i="12"/>
  <c r="B1008" i="12"/>
  <c r="A1008" i="12"/>
  <c r="G1007" i="12"/>
  <c r="F1007" i="12"/>
  <c r="E1007" i="12"/>
  <c r="D1007" i="12"/>
  <c r="C1007" i="12"/>
  <c r="B1007" i="12"/>
  <c r="A1007" i="12"/>
  <c r="G1006" i="12"/>
  <c r="F1006" i="12"/>
  <c r="E1006" i="12"/>
  <c r="D1006" i="12"/>
  <c r="C1006" i="12"/>
  <c r="B1006" i="12"/>
  <c r="A1006" i="12"/>
  <c r="G1005" i="12"/>
  <c r="F1005" i="12"/>
  <c r="E1005" i="12"/>
  <c r="D1005" i="12"/>
  <c r="C1005" i="12"/>
  <c r="B1005" i="12"/>
  <c r="A1005" i="12"/>
  <c r="G1004" i="12"/>
  <c r="F1004" i="12"/>
  <c r="E1004" i="12"/>
  <c r="D1004" i="12"/>
  <c r="C1004" i="12"/>
  <c r="B1004" i="12"/>
  <c r="A1004" i="12"/>
  <c r="G1003" i="12"/>
  <c r="F1003" i="12"/>
  <c r="E1003" i="12"/>
  <c r="D1003" i="12"/>
  <c r="C1003" i="12"/>
  <c r="B1003" i="12"/>
  <c r="A1003" i="12"/>
  <c r="G1002" i="12"/>
  <c r="F1002" i="12"/>
  <c r="E1002" i="12"/>
  <c r="D1002" i="12"/>
  <c r="C1002" i="12"/>
  <c r="B1002" i="12"/>
  <c r="A1002" i="12"/>
  <c r="G1001" i="12"/>
  <c r="F1001" i="12"/>
  <c r="E1001" i="12"/>
  <c r="D1001" i="12"/>
  <c r="C1001" i="12"/>
  <c r="B1001" i="12"/>
  <c r="A1001" i="12"/>
  <c r="G1000" i="12"/>
  <c r="F1000" i="12"/>
  <c r="E1000" i="12"/>
  <c r="D1000" i="12"/>
  <c r="C1000" i="12"/>
  <c r="B1000" i="12"/>
  <c r="A1000" i="12"/>
  <c r="G999" i="12"/>
  <c r="F999" i="12"/>
  <c r="E999" i="12"/>
  <c r="D999" i="12"/>
  <c r="C999" i="12"/>
  <c r="B999" i="12"/>
  <c r="A999" i="12"/>
  <c r="G998" i="12"/>
  <c r="F998" i="12"/>
  <c r="E998" i="12"/>
  <c r="D998" i="12"/>
  <c r="C998" i="12"/>
  <c r="B998" i="12"/>
  <c r="A998" i="12"/>
  <c r="G997" i="12"/>
  <c r="F997" i="12"/>
  <c r="E997" i="12"/>
  <c r="D997" i="12"/>
  <c r="C997" i="12"/>
  <c r="B997" i="12"/>
  <c r="A997" i="12"/>
  <c r="G996" i="12"/>
  <c r="F996" i="12"/>
  <c r="E996" i="12"/>
  <c r="D996" i="12"/>
  <c r="C996" i="12"/>
  <c r="B996" i="12"/>
  <c r="A996" i="12"/>
  <c r="G995" i="12"/>
  <c r="F995" i="12"/>
  <c r="E995" i="12"/>
  <c r="D995" i="12"/>
  <c r="C995" i="12"/>
  <c r="B995" i="12"/>
  <c r="A995" i="12"/>
  <c r="G994" i="12"/>
  <c r="F994" i="12"/>
  <c r="E994" i="12"/>
  <c r="D994" i="12"/>
  <c r="C994" i="12"/>
  <c r="B994" i="12"/>
  <c r="A994" i="12"/>
  <c r="G993" i="12"/>
  <c r="F993" i="12"/>
  <c r="E993" i="12"/>
  <c r="D993" i="12"/>
  <c r="C993" i="12"/>
  <c r="B993" i="12"/>
  <c r="A993" i="12"/>
  <c r="G992" i="12"/>
  <c r="F992" i="12"/>
  <c r="E992" i="12"/>
  <c r="D992" i="12"/>
  <c r="C992" i="12"/>
  <c r="B992" i="12"/>
  <c r="A992" i="12"/>
  <c r="G991" i="12"/>
  <c r="F991" i="12"/>
  <c r="E991" i="12"/>
  <c r="D991" i="12"/>
  <c r="C991" i="12"/>
  <c r="B991" i="12"/>
  <c r="A991" i="12"/>
  <c r="G990" i="12"/>
  <c r="F990" i="12"/>
  <c r="E990" i="12"/>
  <c r="D990" i="12"/>
  <c r="C990" i="12"/>
  <c r="B990" i="12"/>
  <c r="A990" i="12"/>
  <c r="G989" i="12"/>
  <c r="F989" i="12"/>
  <c r="E989" i="12"/>
  <c r="D989" i="12"/>
  <c r="C989" i="12"/>
  <c r="B989" i="12"/>
  <c r="A989" i="12"/>
  <c r="G988" i="12"/>
  <c r="F988" i="12"/>
  <c r="E988" i="12"/>
  <c r="D988" i="12"/>
  <c r="C988" i="12"/>
  <c r="B988" i="12"/>
  <c r="A988" i="12"/>
  <c r="G987" i="12"/>
  <c r="F987" i="12"/>
  <c r="E987" i="12"/>
  <c r="D987" i="12"/>
  <c r="C987" i="12"/>
  <c r="B987" i="12"/>
  <c r="A987" i="12"/>
  <c r="G986" i="12"/>
  <c r="F986" i="12"/>
  <c r="E986" i="12"/>
  <c r="D986" i="12"/>
  <c r="C986" i="12"/>
  <c r="B986" i="12"/>
  <c r="A986" i="12"/>
  <c r="G985" i="12"/>
  <c r="F985" i="12"/>
  <c r="E985" i="12"/>
  <c r="D985" i="12"/>
  <c r="C985" i="12"/>
  <c r="B985" i="12"/>
  <c r="A985" i="12"/>
  <c r="G984" i="12"/>
  <c r="F984" i="12"/>
  <c r="E984" i="12"/>
  <c r="D984" i="12"/>
  <c r="C984" i="12"/>
  <c r="B984" i="12"/>
  <c r="A984" i="12"/>
  <c r="G983" i="12"/>
  <c r="F983" i="12"/>
  <c r="E983" i="12"/>
  <c r="D983" i="12"/>
  <c r="C983" i="12"/>
  <c r="B983" i="12"/>
  <c r="A983" i="12"/>
  <c r="G982" i="12"/>
  <c r="F982" i="12"/>
  <c r="E982" i="12"/>
  <c r="D982" i="12"/>
  <c r="C982" i="12"/>
  <c r="B982" i="12"/>
  <c r="A982" i="12"/>
  <c r="G981" i="12"/>
  <c r="F981" i="12"/>
  <c r="E981" i="12"/>
  <c r="D981" i="12"/>
  <c r="C981" i="12"/>
  <c r="B981" i="12"/>
  <c r="A981" i="12"/>
  <c r="G980" i="12"/>
  <c r="F980" i="12"/>
  <c r="E980" i="12"/>
  <c r="D980" i="12"/>
  <c r="C980" i="12"/>
  <c r="B980" i="12"/>
  <c r="A980" i="12"/>
  <c r="G979" i="12"/>
  <c r="F979" i="12"/>
  <c r="E979" i="12"/>
  <c r="D979" i="12"/>
  <c r="C979" i="12"/>
  <c r="B979" i="12"/>
  <c r="A979" i="12"/>
  <c r="G978" i="12"/>
  <c r="F978" i="12"/>
  <c r="E978" i="12"/>
  <c r="D978" i="12"/>
  <c r="C978" i="12"/>
  <c r="B978" i="12"/>
  <c r="A978" i="12"/>
  <c r="G977" i="12"/>
  <c r="F977" i="12"/>
  <c r="E977" i="12"/>
  <c r="D977" i="12"/>
  <c r="C977" i="12"/>
  <c r="B977" i="12"/>
  <c r="A977" i="12"/>
  <c r="G976" i="12"/>
  <c r="F976" i="12"/>
  <c r="E976" i="12"/>
  <c r="D976" i="12"/>
  <c r="C976" i="12"/>
  <c r="B976" i="12"/>
  <c r="A976" i="12"/>
  <c r="G975" i="12"/>
  <c r="F975" i="12"/>
  <c r="E975" i="12"/>
  <c r="D975" i="12"/>
  <c r="C975" i="12"/>
  <c r="B975" i="12"/>
  <c r="A975" i="12"/>
  <c r="G974" i="12"/>
  <c r="F974" i="12"/>
  <c r="E974" i="12"/>
  <c r="D974" i="12"/>
  <c r="C974" i="12"/>
  <c r="B974" i="12"/>
  <c r="A974" i="12"/>
  <c r="G973" i="12"/>
  <c r="F973" i="12"/>
  <c r="E973" i="12"/>
  <c r="D973" i="12"/>
  <c r="C973" i="12"/>
  <c r="B973" i="12"/>
  <c r="A973" i="12"/>
  <c r="G972" i="12"/>
  <c r="F972" i="12"/>
  <c r="E972" i="12"/>
  <c r="D972" i="12"/>
  <c r="C972" i="12"/>
  <c r="B972" i="12"/>
  <c r="A972" i="12"/>
  <c r="G971" i="12"/>
  <c r="F971" i="12"/>
  <c r="E971" i="12"/>
  <c r="D971" i="12"/>
  <c r="C971" i="12"/>
  <c r="B971" i="12"/>
  <c r="A971" i="12"/>
  <c r="G970" i="12"/>
  <c r="F970" i="12"/>
  <c r="E970" i="12"/>
  <c r="D970" i="12"/>
  <c r="C970" i="12"/>
  <c r="B970" i="12"/>
  <c r="A970" i="12"/>
  <c r="G969" i="12"/>
  <c r="F969" i="12"/>
  <c r="E969" i="12"/>
  <c r="D969" i="12"/>
  <c r="C969" i="12"/>
  <c r="B969" i="12"/>
  <c r="A969" i="12"/>
  <c r="G968" i="12"/>
  <c r="F968" i="12"/>
  <c r="E968" i="12"/>
  <c r="D968" i="12"/>
  <c r="C968" i="12"/>
  <c r="B968" i="12"/>
  <c r="A968" i="12"/>
  <c r="G967" i="12"/>
  <c r="F967" i="12"/>
  <c r="E967" i="12"/>
  <c r="D967" i="12"/>
  <c r="C967" i="12"/>
  <c r="B967" i="12"/>
  <c r="A967" i="12"/>
  <c r="G966" i="12"/>
  <c r="F966" i="12"/>
  <c r="E966" i="12"/>
  <c r="D966" i="12"/>
  <c r="C966" i="12"/>
  <c r="B966" i="12"/>
  <c r="A966" i="12"/>
  <c r="G965" i="12"/>
  <c r="F965" i="12"/>
  <c r="E965" i="12"/>
  <c r="D965" i="12"/>
  <c r="C965" i="12"/>
  <c r="B965" i="12"/>
  <c r="A965" i="12"/>
  <c r="G964" i="12"/>
  <c r="F964" i="12"/>
  <c r="E964" i="12"/>
  <c r="D964" i="12"/>
  <c r="C964" i="12"/>
  <c r="B964" i="12"/>
  <c r="A964" i="12"/>
  <c r="G963" i="12"/>
  <c r="F963" i="12"/>
  <c r="E963" i="12"/>
  <c r="D963" i="12"/>
  <c r="C963" i="12"/>
  <c r="B963" i="12"/>
  <c r="A963" i="12"/>
  <c r="G962" i="12"/>
  <c r="F962" i="12"/>
  <c r="E962" i="12"/>
  <c r="D962" i="12"/>
  <c r="C962" i="12"/>
  <c r="B962" i="12"/>
  <c r="A962" i="12"/>
  <c r="G961" i="12"/>
  <c r="F961" i="12"/>
  <c r="E961" i="12"/>
  <c r="D961" i="12"/>
  <c r="C961" i="12"/>
  <c r="B961" i="12"/>
  <c r="A961" i="12"/>
  <c r="G960" i="12"/>
  <c r="F960" i="12"/>
  <c r="E960" i="12"/>
  <c r="D960" i="12"/>
  <c r="C960" i="12"/>
  <c r="B960" i="12"/>
  <c r="A960" i="12"/>
  <c r="G959" i="12"/>
  <c r="F959" i="12"/>
  <c r="E959" i="12"/>
  <c r="D959" i="12"/>
  <c r="C959" i="12"/>
  <c r="B959" i="12"/>
  <c r="A959" i="12"/>
  <c r="G958" i="12"/>
  <c r="F958" i="12"/>
  <c r="E958" i="12"/>
  <c r="D958" i="12"/>
  <c r="C958" i="12"/>
  <c r="B958" i="12"/>
  <c r="A958" i="12"/>
  <c r="G957" i="12"/>
  <c r="F957" i="12"/>
  <c r="E957" i="12"/>
  <c r="D957" i="12"/>
  <c r="C957" i="12"/>
  <c r="B957" i="12"/>
  <c r="A957" i="12"/>
  <c r="G956" i="12"/>
  <c r="F956" i="12"/>
  <c r="E956" i="12"/>
  <c r="D956" i="12"/>
  <c r="C956" i="12"/>
  <c r="B956" i="12"/>
  <c r="A956" i="12"/>
  <c r="G955" i="12"/>
  <c r="F955" i="12"/>
  <c r="E955" i="12"/>
  <c r="D955" i="12"/>
  <c r="C955" i="12"/>
  <c r="B955" i="12"/>
  <c r="A955" i="12"/>
  <c r="G954" i="12"/>
  <c r="F954" i="12"/>
  <c r="E954" i="12"/>
  <c r="D954" i="12"/>
  <c r="C954" i="12"/>
  <c r="B954" i="12"/>
  <c r="A954" i="12"/>
  <c r="G953" i="12"/>
  <c r="F953" i="12"/>
  <c r="E953" i="12"/>
  <c r="D953" i="12"/>
  <c r="C953" i="12"/>
  <c r="B953" i="12"/>
  <c r="A953" i="12"/>
  <c r="G952" i="12"/>
  <c r="F952" i="12"/>
  <c r="E952" i="12"/>
  <c r="D952" i="12"/>
  <c r="C952" i="12"/>
  <c r="B952" i="12"/>
  <c r="A952" i="12"/>
  <c r="G951" i="12"/>
  <c r="F951" i="12"/>
  <c r="E951" i="12"/>
  <c r="D951" i="12"/>
  <c r="C951" i="12"/>
  <c r="B951" i="12"/>
  <c r="A951" i="12"/>
  <c r="G950" i="12"/>
  <c r="F950" i="12"/>
  <c r="E950" i="12"/>
  <c r="D950" i="12"/>
  <c r="C950" i="12"/>
  <c r="B950" i="12"/>
  <c r="A950" i="12"/>
  <c r="G949" i="12"/>
  <c r="F949" i="12"/>
  <c r="E949" i="12"/>
  <c r="D949" i="12"/>
  <c r="C949" i="12"/>
  <c r="B949" i="12"/>
  <c r="A949" i="12"/>
  <c r="G948" i="12"/>
  <c r="F948" i="12"/>
  <c r="E948" i="12"/>
  <c r="D948" i="12"/>
  <c r="C948" i="12"/>
  <c r="B948" i="12"/>
  <c r="A948" i="12"/>
  <c r="G947" i="12"/>
  <c r="F947" i="12"/>
  <c r="E947" i="12"/>
  <c r="D947" i="12"/>
  <c r="C947" i="12"/>
  <c r="B947" i="12"/>
  <c r="A947" i="12"/>
  <c r="G946" i="12"/>
  <c r="F946" i="12"/>
  <c r="E946" i="12"/>
  <c r="D946" i="12"/>
  <c r="C946" i="12"/>
  <c r="B946" i="12"/>
  <c r="A946" i="12"/>
  <c r="G945" i="12"/>
  <c r="F945" i="12"/>
  <c r="E945" i="12"/>
  <c r="D945" i="12"/>
  <c r="C945" i="12"/>
  <c r="B945" i="12"/>
  <c r="A945" i="12"/>
  <c r="G944" i="12"/>
  <c r="F944" i="12"/>
  <c r="E944" i="12"/>
  <c r="D944" i="12"/>
  <c r="C944" i="12"/>
  <c r="B944" i="12"/>
  <c r="A944" i="12"/>
  <c r="G943" i="12"/>
  <c r="F943" i="12"/>
  <c r="E943" i="12"/>
  <c r="D943" i="12"/>
  <c r="C943" i="12"/>
  <c r="B943" i="12"/>
  <c r="A943" i="12"/>
  <c r="G942" i="12"/>
  <c r="F942" i="12"/>
  <c r="E942" i="12"/>
  <c r="D942" i="12"/>
  <c r="C942" i="12"/>
  <c r="B942" i="12"/>
  <c r="A942" i="12"/>
  <c r="G941" i="12"/>
  <c r="F941" i="12"/>
  <c r="E941" i="12"/>
  <c r="D941" i="12"/>
  <c r="C941" i="12"/>
  <c r="B941" i="12"/>
  <c r="A941" i="12"/>
  <c r="G940" i="12"/>
  <c r="F940" i="12"/>
  <c r="E940" i="12"/>
  <c r="D940" i="12"/>
  <c r="C940" i="12"/>
  <c r="B940" i="12"/>
  <c r="A940" i="12"/>
  <c r="G939" i="12"/>
  <c r="F939" i="12"/>
  <c r="E939" i="12"/>
  <c r="D939" i="12"/>
  <c r="C939" i="12"/>
  <c r="B939" i="12"/>
  <c r="A939" i="12"/>
  <c r="G938" i="12"/>
  <c r="F938" i="12"/>
  <c r="E938" i="12"/>
  <c r="D938" i="12"/>
  <c r="C938" i="12"/>
  <c r="B938" i="12"/>
  <c r="A938" i="12"/>
  <c r="G937" i="12"/>
  <c r="F937" i="12"/>
  <c r="E937" i="12"/>
  <c r="D937" i="12"/>
  <c r="C937" i="12"/>
  <c r="B937" i="12"/>
  <c r="A937" i="12"/>
  <c r="G936" i="12"/>
  <c r="F936" i="12"/>
  <c r="E936" i="12"/>
  <c r="D936" i="12"/>
  <c r="C936" i="12"/>
  <c r="B936" i="12"/>
  <c r="A936" i="12"/>
  <c r="G935" i="12"/>
  <c r="F935" i="12"/>
  <c r="E935" i="12"/>
  <c r="D935" i="12"/>
  <c r="C935" i="12"/>
  <c r="B935" i="12"/>
  <c r="A935" i="12"/>
  <c r="G934" i="12"/>
  <c r="F934" i="12"/>
  <c r="E934" i="12"/>
  <c r="D934" i="12"/>
  <c r="C934" i="12"/>
  <c r="B934" i="12"/>
  <c r="A934" i="12"/>
  <c r="G933" i="12"/>
  <c r="F933" i="12"/>
  <c r="E933" i="12"/>
  <c r="D933" i="12"/>
  <c r="C933" i="12"/>
  <c r="B933" i="12"/>
  <c r="A933" i="12"/>
  <c r="G932" i="12"/>
  <c r="F932" i="12"/>
  <c r="E932" i="12"/>
  <c r="D932" i="12"/>
  <c r="C932" i="12"/>
  <c r="B932" i="12"/>
  <c r="A932" i="12"/>
  <c r="G931" i="12"/>
  <c r="F931" i="12"/>
  <c r="E931" i="12"/>
  <c r="D931" i="12"/>
  <c r="C931" i="12"/>
  <c r="B931" i="12"/>
  <c r="A931" i="12"/>
  <c r="G930" i="12"/>
  <c r="F930" i="12"/>
  <c r="E930" i="12"/>
  <c r="D930" i="12"/>
  <c r="C930" i="12"/>
  <c r="B930" i="12"/>
  <c r="A930" i="12"/>
  <c r="G929" i="12"/>
  <c r="F929" i="12"/>
  <c r="E929" i="12"/>
  <c r="D929" i="12"/>
  <c r="C929" i="12"/>
  <c r="B929" i="12"/>
  <c r="A929" i="12"/>
  <c r="G928" i="12"/>
  <c r="F928" i="12"/>
  <c r="E928" i="12"/>
  <c r="D928" i="12"/>
  <c r="C928" i="12"/>
  <c r="B928" i="12"/>
  <c r="A928" i="12"/>
  <c r="G927" i="12"/>
  <c r="F927" i="12"/>
  <c r="E927" i="12"/>
  <c r="D927" i="12"/>
  <c r="C927" i="12"/>
  <c r="B927" i="12"/>
  <c r="A927" i="12"/>
  <c r="G926" i="12"/>
  <c r="F926" i="12"/>
  <c r="E926" i="12"/>
  <c r="D926" i="12"/>
  <c r="C926" i="12"/>
  <c r="B926" i="12"/>
  <c r="A926" i="12"/>
  <c r="G925" i="12"/>
  <c r="F925" i="12"/>
  <c r="E925" i="12"/>
  <c r="D925" i="12"/>
  <c r="C925" i="12"/>
  <c r="B925" i="12"/>
  <c r="A925" i="12"/>
  <c r="G924" i="12"/>
  <c r="F924" i="12"/>
  <c r="E924" i="12"/>
  <c r="D924" i="12"/>
  <c r="C924" i="12"/>
  <c r="B924" i="12"/>
  <c r="A924" i="12"/>
  <c r="G923" i="12"/>
  <c r="F923" i="12"/>
  <c r="E923" i="12"/>
  <c r="D923" i="12"/>
  <c r="C923" i="12"/>
  <c r="B923" i="12"/>
  <c r="A923" i="12"/>
  <c r="G922" i="12"/>
  <c r="F922" i="12"/>
  <c r="E922" i="12"/>
  <c r="D922" i="12"/>
  <c r="C922" i="12"/>
  <c r="B922" i="12"/>
  <c r="A922" i="12"/>
  <c r="G921" i="12"/>
  <c r="F921" i="12"/>
  <c r="E921" i="12"/>
  <c r="D921" i="12"/>
  <c r="C921" i="12"/>
  <c r="B921" i="12"/>
  <c r="A921" i="12"/>
  <c r="G920" i="12"/>
  <c r="F920" i="12"/>
  <c r="E920" i="12"/>
  <c r="D920" i="12"/>
  <c r="C920" i="12"/>
  <c r="B920" i="12"/>
  <c r="A920" i="12"/>
  <c r="G919" i="12"/>
  <c r="F919" i="12"/>
  <c r="E919" i="12"/>
  <c r="D919" i="12"/>
  <c r="C919" i="12"/>
  <c r="B919" i="12"/>
  <c r="A919" i="12"/>
  <c r="G918" i="12"/>
  <c r="F918" i="12"/>
  <c r="E918" i="12"/>
  <c r="D918" i="12"/>
  <c r="C918" i="12"/>
  <c r="B918" i="12"/>
  <c r="A918" i="12"/>
  <c r="G917" i="12"/>
  <c r="F917" i="12"/>
  <c r="E917" i="12"/>
  <c r="D917" i="12"/>
  <c r="C917" i="12"/>
  <c r="B917" i="12"/>
  <c r="A917" i="12"/>
  <c r="G916" i="12"/>
  <c r="F916" i="12"/>
  <c r="E916" i="12"/>
  <c r="D916" i="12"/>
  <c r="C916" i="12"/>
  <c r="B916" i="12"/>
  <c r="A916" i="12"/>
  <c r="G915" i="12"/>
  <c r="F915" i="12"/>
  <c r="E915" i="12"/>
  <c r="D915" i="12"/>
  <c r="C915" i="12"/>
  <c r="B915" i="12"/>
  <c r="A915" i="12"/>
  <c r="G914" i="12"/>
  <c r="F914" i="12"/>
  <c r="E914" i="12"/>
  <c r="D914" i="12"/>
  <c r="C914" i="12"/>
  <c r="B914" i="12"/>
  <c r="A914" i="12"/>
  <c r="G913" i="12"/>
  <c r="F913" i="12"/>
  <c r="E913" i="12"/>
  <c r="D913" i="12"/>
  <c r="C913" i="12"/>
  <c r="B913" i="12"/>
  <c r="A913" i="12"/>
  <c r="G912" i="12"/>
  <c r="F912" i="12"/>
  <c r="E912" i="12"/>
  <c r="D912" i="12"/>
  <c r="C912" i="12"/>
  <c r="B912" i="12"/>
  <c r="A912" i="12"/>
  <c r="G911" i="12"/>
  <c r="F911" i="12"/>
  <c r="E911" i="12"/>
  <c r="D911" i="12"/>
  <c r="C911" i="12"/>
  <c r="B911" i="12"/>
  <c r="A911" i="12"/>
  <c r="G910" i="12"/>
  <c r="F910" i="12"/>
  <c r="E910" i="12"/>
  <c r="D910" i="12"/>
  <c r="C910" i="12"/>
  <c r="B910" i="12"/>
  <c r="A910" i="12"/>
  <c r="G909" i="12"/>
  <c r="F909" i="12"/>
  <c r="E909" i="12"/>
  <c r="D909" i="12"/>
  <c r="C909" i="12"/>
  <c r="B909" i="12"/>
  <c r="A909" i="12"/>
  <c r="G908" i="12"/>
  <c r="F908" i="12"/>
  <c r="E908" i="12"/>
  <c r="D908" i="12"/>
  <c r="C908" i="12"/>
  <c r="B908" i="12"/>
  <c r="A908" i="12"/>
  <c r="G907" i="12"/>
  <c r="F907" i="12"/>
  <c r="E907" i="12"/>
  <c r="D907" i="12"/>
  <c r="C907" i="12"/>
  <c r="B907" i="12"/>
  <c r="A907" i="12"/>
  <c r="G906" i="12"/>
  <c r="F906" i="12"/>
  <c r="E906" i="12"/>
  <c r="D906" i="12"/>
  <c r="C906" i="12"/>
  <c r="B906" i="12"/>
  <c r="A906" i="12"/>
  <c r="G905" i="12"/>
  <c r="F905" i="12"/>
  <c r="E905" i="12"/>
  <c r="D905" i="12"/>
  <c r="C905" i="12"/>
  <c r="B905" i="12"/>
  <c r="A905" i="12"/>
  <c r="G904" i="12"/>
  <c r="F904" i="12"/>
  <c r="E904" i="12"/>
  <c r="D904" i="12"/>
  <c r="C904" i="12"/>
  <c r="B904" i="12"/>
  <c r="A904" i="12"/>
  <c r="G903" i="12"/>
  <c r="F903" i="12"/>
  <c r="E903" i="12"/>
  <c r="D903" i="12"/>
  <c r="C903" i="12"/>
  <c r="B903" i="12"/>
  <c r="A903" i="12"/>
  <c r="G902" i="12"/>
  <c r="F902" i="12"/>
  <c r="E902" i="12"/>
  <c r="D902" i="12"/>
  <c r="C902" i="12"/>
  <c r="B902" i="12"/>
  <c r="A902" i="12"/>
  <c r="G901" i="12"/>
  <c r="F901" i="12"/>
  <c r="E901" i="12"/>
  <c r="D901" i="12"/>
  <c r="C901" i="12"/>
  <c r="B901" i="12"/>
  <c r="A901" i="12"/>
  <c r="G900" i="12"/>
  <c r="F900" i="12"/>
  <c r="E900" i="12"/>
  <c r="D900" i="12"/>
  <c r="C900" i="12"/>
  <c r="B900" i="12"/>
  <c r="A900" i="12"/>
  <c r="G899" i="12"/>
  <c r="F899" i="12"/>
  <c r="E899" i="12"/>
  <c r="D899" i="12"/>
  <c r="C899" i="12"/>
  <c r="B899" i="12"/>
  <c r="A899" i="12"/>
  <c r="G898" i="12"/>
  <c r="F898" i="12"/>
  <c r="E898" i="12"/>
  <c r="D898" i="12"/>
  <c r="C898" i="12"/>
  <c r="B898" i="12"/>
  <c r="A898" i="12"/>
  <c r="G897" i="12"/>
  <c r="F897" i="12"/>
  <c r="E897" i="12"/>
  <c r="D897" i="12"/>
  <c r="C897" i="12"/>
  <c r="B897" i="12"/>
  <c r="A897" i="12"/>
  <c r="G896" i="12"/>
  <c r="F896" i="12"/>
  <c r="E896" i="12"/>
  <c r="D896" i="12"/>
  <c r="C896" i="12"/>
  <c r="B896" i="12"/>
  <c r="A896" i="12"/>
  <c r="G895" i="12"/>
  <c r="F895" i="12"/>
  <c r="E895" i="12"/>
  <c r="D895" i="12"/>
  <c r="C895" i="12"/>
  <c r="B895" i="12"/>
  <c r="A895" i="12"/>
  <c r="G894" i="12"/>
  <c r="F894" i="12"/>
  <c r="E894" i="12"/>
  <c r="D894" i="12"/>
  <c r="C894" i="12"/>
  <c r="B894" i="12"/>
  <c r="A894" i="12"/>
  <c r="G893" i="12"/>
  <c r="F893" i="12"/>
  <c r="E893" i="12"/>
  <c r="D893" i="12"/>
  <c r="C893" i="12"/>
  <c r="B893" i="12"/>
  <c r="A893" i="12"/>
  <c r="G892" i="12"/>
  <c r="F892" i="12"/>
  <c r="E892" i="12"/>
  <c r="D892" i="12"/>
  <c r="C892" i="12"/>
  <c r="B892" i="12"/>
  <c r="A892" i="12"/>
  <c r="G891" i="12"/>
  <c r="F891" i="12"/>
  <c r="E891" i="12"/>
  <c r="D891" i="12"/>
  <c r="C891" i="12"/>
  <c r="B891" i="12"/>
  <c r="A891" i="12"/>
  <c r="G890" i="12"/>
  <c r="F890" i="12"/>
  <c r="E890" i="12"/>
  <c r="D890" i="12"/>
  <c r="C890" i="12"/>
  <c r="B890" i="12"/>
  <c r="A890" i="12"/>
  <c r="G889" i="12"/>
  <c r="F889" i="12"/>
  <c r="E889" i="12"/>
  <c r="D889" i="12"/>
  <c r="C889" i="12"/>
  <c r="B889" i="12"/>
  <c r="A889" i="12"/>
  <c r="G888" i="12"/>
  <c r="F888" i="12"/>
  <c r="E888" i="12"/>
  <c r="D888" i="12"/>
  <c r="C888" i="12"/>
  <c r="B888" i="12"/>
  <c r="A888" i="12"/>
  <c r="G887" i="12"/>
  <c r="F887" i="12"/>
  <c r="E887" i="12"/>
  <c r="D887" i="12"/>
  <c r="C887" i="12"/>
  <c r="B887" i="12"/>
  <c r="A887" i="12"/>
  <c r="G886" i="12"/>
  <c r="F886" i="12"/>
  <c r="E886" i="12"/>
  <c r="D886" i="12"/>
  <c r="C886" i="12"/>
  <c r="B886" i="12"/>
  <c r="A886" i="12"/>
  <c r="G885" i="12"/>
  <c r="F885" i="12"/>
  <c r="E885" i="12"/>
  <c r="D885" i="12"/>
  <c r="C885" i="12"/>
  <c r="B885" i="12"/>
  <c r="A885" i="12"/>
  <c r="G884" i="12"/>
  <c r="F884" i="12"/>
  <c r="E884" i="12"/>
  <c r="D884" i="12"/>
  <c r="C884" i="12"/>
  <c r="B884" i="12"/>
  <c r="A884" i="12"/>
  <c r="G883" i="12"/>
  <c r="F883" i="12"/>
  <c r="E883" i="12"/>
  <c r="D883" i="12"/>
  <c r="C883" i="12"/>
  <c r="B883" i="12"/>
  <c r="A883" i="12"/>
  <c r="G882" i="12"/>
  <c r="F882" i="12"/>
  <c r="E882" i="12"/>
  <c r="D882" i="12"/>
  <c r="C882" i="12"/>
  <c r="B882" i="12"/>
  <c r="A882" i="12"/>
  <c r="G881" i="12"/>
  <c r="F881" i="12"/>
  <c r="E881" i="12"/>
  <c r="D881" i="12"/>
  <c r="C881" i="12"/>
  <c r="B881" i="12"/>
  <c r="A881" i="12"/>
  <c r="G880" i="12"/>
  <c r="F880" i="12"/>
  <c r="E880" i="12"/>
  <c r="D880" i="12"/>
  <c r="C880" i="12"/>
  <c r="B880" i="12"/>
  <c r="A880" i="12"/>
  <c r="G879" i="12"/>
  <c r="F879" i="12"/>
  <c r="E879" i="12"/>
  <c r="D879" i="12"/>
  <c r="C879" i="12"/>
  <c r="B879" i="12"/>
  <c r="A879" i="12"/>
  <c r="G878" i="12"/>
  <c r="F878" i="12"/>
  <c r="E878" i="12"/>
  <c r="D878" i="12"/>
  <c r="C878" i="12"/>
  <c r="B878" i="12"/>
  <c r="A878" i="12"/>
  <c r="G877" i="12"/>
  <c r="F877" i="12"/>
  <c r="E877" i="12"/>
  <c r="D877" i="12"/>
  <c r="C877" i="12"/>
  <c r="B877" i="12"/>
  <c r="A877" i="12"/>
  <c r="G876" i="12"/>
  <c r="F876" i="12"/>
  <c r="E876" i="12"/>
  <c r="D876" i="12"/>
  <c r="C876" i="12"/>
  <c r="B876" i="12"/>
  <c r="A876" i="12"/>
  <c r="G875" i="12"/>
  <c r="F875" i="12"/>
  <c r="E875" i="12"/>
  <c r="D875" i="12"/>
  <c r="C875" i="12"/>
  <c r="B875" i="12"/>
  <c r="A875" i="12"/>
  <c r="G874" i="12"/>
  <c r="F874" i="12"/>
  <c r="E874" i="12"/>
  <c r="D874" i="12"/>
  <c r="C874" i="12"/>
  <c r="B874" i="12"/>
  <c r="A874" i="12"/>
  <c r="G873" i="12"/>
  <c r="F873" i="12"/>
  <c r="E873" i="12"/>
  <c r="D873" i="12"/>
  <c r="C873" i="12"/>
  <c r="B873" i="12"/>
  <c r="A873" i="12"/>
  <c r="G872" i="12"/>
  <c r="F872" i="12"/>
  <c r="E872" i="12"/>
  <c r="D872" i="12"/>
  <c r="C872" i="12"/>
  <c r="B872" i="12"/>
  <c r="A872" i="12"/>
  <c r="G871" i="12"/>
  <c r="F871" i="12"/>
  <c r="E871" i="12"/>
  <c r="D871" i="12"/>
  <c r="C871" i="12"/>
  <c r="B871" i="12"/>
  <c r="A871" i="12"/>
  <c r="G870" i="12"/>
  <c r="F870" i="12"/>
  <c r="E870" i="12"/>
  <c r="D870" i="12"/>
  <c r="C870" i="12"/>
  <c r="B870" i="12"/>
  <c r="A870" i="12"/>
  <c r="G869" i="12"/>
  <c r="F869" i="12"/>
  <c r="E869" i="12"/>
  <c r="D869" i="12"/>
  <c r="C869" i="12"/>
  <c r="B869" i="12"/>
  <c r="A869" i="12"/>
  <c r="G868" i="12"/>
  <c r="F868" i="12"/>
  <c r="E868" i="12"/>
  <c r="D868" i="12"/>
  <c r="C868" i="12"/>
  <c r="B868" i="12"/>
  <c r="A868" i="12"/>
  <c r="G867" i="12"/>
  <c r="F867" i="12"/>
  <c r="E867" i="12"/>
  <c r="D867" i="12"/>
  <c r="C867" i="12"/>
  <c r="B867" i="12"/>
  <c r="A867" i="12"/>
  <c r="G866" i="12"/>
  <c r="F866" i="12"/>
  <c r="E866" i="12"/>
  <c r="D866" i="12"/>
  <c r="C866" i="12"/>
  <c r="B866" i="12"/>
  <c r="A866" i="12"/>
  <c r="G865" i="12"/>
  <c r="F865" i="12"/>
  <c r="E865" i="12"/>
  <c r="D865" i="12"/>
  <c r="C865" i="12"/>
  <c r="B865" i="12"/>
  <c r="A865" i="12"/>
  <c r="G864" i="12"/>
  <c r="F864" i="12"/>
  <c r="E864" i="12"/>
  <c r="D864" i="12"/>
  <c r="C864" i="12"/>
  <c r="B864" i="12"/>
  <c r="A864" i="12"/>
  <c r="G863" i="12"/>
  <c r="F863" i="12"/>
  <c r="E863" i="12"/>
  <c r="D863" i="12"/>
  <c r="C863" i="12"/>
  <c r="B863" i="12"/>
  <c r="A863" i="12"/>
  <c r="G862" i="12"/>
  <c r="F862" i="12"/>
  <c r="E862" i="12"/>
  <c r="D862" i="12"/>
  <c r="C862" i="12"/>
  <c r="B862" i="12"/>
  <c r="A862" i="12"/>
  <c r="G861" i="12"/>
  <c r="F861" i="12"/>
  <c r="E861" i="12"/>
  <c r="D861" i="12"/>
  <c r="C861" i="12"/>
  <c r="B861" i="12"/>
  <c r="A861" i="12"/>
  <c r="G860" i="12"/>
  <c r="F860" i="12"/>
  <c r="E860" i="12"/>
  <c r="D860" i="12"/>
  <c r="C860" i="12"/>
  <c r="B860" i="12"/>
  <c r="A860" i="12"/>
  <c r="G859" i="12"/>
  <c r="F859" i="12"/>
  <c r="E859" i="12"/>
  <c r="D859" i="12"/>
  <c r="C859" i="12"/>
  <c r="B859" i="12"/>
  <c r="A859" i="12"/>
  <c r="G858" i="12"/>
  <c r="F858" i="12"/>
  <c r="E858" i="12"/>
  <c r="D858" i="12"/>
  <c r="C858" i="12"/>
  <c r="B858" i="12"/>
  <c r="A858" i="12"/>
  <c r="G857" i="12"/>
  <c r="F857" i="12"/>
  <c r="E857" i="12"/>
  <c r="D857" i="12"/>
  <c r="C857" i="12"/>
  <c r="B857" i="12"/>
  <c r="A857" i="12"/>
  <c r="G856" i="12"/>
  <c r="F856" i="12"/>
  <c r="E856" i="12"/>
  <c r="D856" i="12"/>
  <c r="C856" i="12"/>
  <c r="B856" i="12"/>
  <c r="A856" i="12"/>
  <c r="G855" i="12"/>
  <c r="F855" i="12"/>
  <c r="E855" i="12"/>
  <c r="D855" i="12"/>
  <c r="C855" i="12"/>
  <c r="B855" i="12"/>
  <c r="A855" i="12"/>
  <c r="G854" i="12"/>
  <c r="F854" i="12"/>
  <c r="E854" i="12"/>
  <c r="D854" i="12"/>
  <c r="C854" i="12"/>
  <c r="B854" i="12"/>
  <c r="A854" i="12"/>
  <c r="G853" i="12"/>
  <c r="F853" i="12"/>
  <c r="E853" i="12"/>
  <c r="D853" i="12"/>
  <c r="C853" i="12"/>
  <c r="B853" i="12"/>
  <c r="A853" i="12"/>
  <c r="G852" i="12"/>
  <c r="F852" i="12"/>
  <c r="E852" i="12"/>
  <c r="D852" i="12"/>
  <c r="C852" i="12"/>
  <c r="B852" i="12"/>
  <c r="A852" i="12"/>
  <c r="G851" i="12"/>
  <c r="F851" i="12"/>
  <c r="E851" i="12"/>
  <c r="D851" i="12"/>
  <c r="C851" i="12"/>
  <c r="B851" i="12"/>
  <c r="A851" i="12"/>
  <c r="G850" i="12"/>
  <c r="F850" i="12"/>
  <c r="E850" i="12"/>
  <c r="D850" i="12"/>
  <c r="C850" i="12"/>
  <c r="B850" i="12"/>
  <c r="A850" i="12"/>
  <c r="G849" i="12"/>
  <c r="F849" i="12"/>
  <c r="E849" i="12"/>
  <c r="D849" i="12"/>
  <c r="C849" i="12"/>
  <c r="B849" i="12"/>
  <c r="A849" i="12"/>
  <c r="G848" i="12"/>
  <c r="F848" i="12"/>
  <c r="E848" i="12"/>
  <c r="D848" i="12"/>
  <c r="C848" i="12"/>
  <c r="B848" i="12"/>
  <c r="A848" i="12"/>
  <c r="G847" i="12"/>
  <c r="F847" i="12"/>
  <c r="E847" i="12"/>
  <c r="D847" i="12"/>
  <c r="C847" i="12"/>
  <c r="B847" i="12"/>
  <c r="A847" i="12"/>
  <c r="G846" i="12"/>
  <c r="F846" i="12"/>
  <c r="E846" i="12"/>
  <c r="D846" i="12"/>
  <c r="C846" i="12"/>
  <c r="B846" i="12"/>
  <c r="A846" i="12"/>
  <c r="G845" i="12"/>
  <c r="F845" i="12"/>
  <c r="E845" i="12"/>
  <c r="D845" i="12"/>
  <c r="C845" i="12"/>
  <c r="B845" i="12"/>
  <c r="A845" i="12"/>
  <c r="G844" i="12"/>
  <c r="F844" i="12"/>
  <c r="E844" i="12"/>
  <c r="D844" i="12"/>
  <c r="C844" i="12"/>
  <c r="B844" i="12"/>
  <c r="A844" i="12"/>
  <c r="G843" i="12"/>
  <c r="F843" i="12"/>
  <c r="E843" i="12"/>
  <c r="D843" i="12"/>
  <c r="C843" i="12"/>
  <c r="B843" i="12"/>
  <c r="A843" i="12"/>
  <c r="G842" i="12"/>
  <c r="F842" i="12"/>
  <c r="E842" i="12"/>
  <c r="D842" i="12"/>
  <c r="C842" i="12"/>
  <c r="B842" i="12"/>
  <c r="A842" i="12"/>
  <c r="G841" i="12"/>
  <c r="F841" i="12"/>
  <c r="E841" i="12"/>
  <c r="D841" i="12"/>
  <c r="C841" i="12"/>
  <c r="B841" i="12"/>
  <c r="A841" i="12"/>
  <c r="G840" i="12"/>
  <c r="F840" i="12"/>
  <c r="E840" i="12"/>
  <c r="D840" i="12"/>
  <c r="C840" i="12"/>
  <c r="B840" i="12"/>
  <c r="A840" i="12"/>
  <c r="G839" i="12"/>
  <c r="F839" i="12"/>
  <c r="E839" i="12"/>
  <c r="D839" i="12"/>
  <c r="C839" i="12"/>
  <c r="B839" i="12"/>
  <c r="A839" i="12"/>
  <c r="G838" i="12"/>
  <c r="F838" i="12"/>
  <c r="E838" i="12"/>
  <c r="D838" i="12"/>
  <c r="C838" i="12"/>
  <c r="B838" i="12"/>
  <c r="A838" i="12"/>
  <c r="G837" i="12"/>
  <c r="F837" i="12"/>
  <c r="E837" i="12"/>
  <c r="D837" i="12"/>
  <c r="C837" i="12"/>
  <c r="B837" i="12"/>
  <c r="A837" i="12"/>
  <c r="G836" i="12"/>
  <c r="F836" i="12"/>
  <c r="E836" i="12"/>
  <c r="D836" i="12"/>
  <c r="C836" i="12"/>
  <c r="B836" i="12"/>
  <c r="A836" i="12"/>
  <c r="G835" i="12"/>
  <c r="F835" i="12"/>
  <c r="E835" i="12"/>
  <c r="D835" i="12"/>
  <c r="C835" i="12"/>
  <c r="B835" i="12"/>
  <c r="A835" i="12"/>
  <c r="G834" i="12"/>
  <c r="F834" i="12"/>
  <c r="E834" i="12"/>
  <c r="D834" i="12"/>
  <c r="C834" i="12"/>
  <c r="B834" i="12"/>
  <c r="A834" i="12"/>
  <c r="G833" i="12"/>
  <c r="F833" i="12"/>
  <c r="E833" i="12"/>
  <c r="D833" i="12"/>
  <c r="C833" i="12"/>
  <c r="B833" i="12"/>
  <c r="A833" i="12"/>
  <c r="G832" i="12"/>
  <c r="F832" i="12"/>
  <c r="E832" i="12"/>
  <c r="D832" i="12"/>
  <c r="C832" i="12"/>
  <c r="B832" i="12"/>
  <c r="A832" i="12"/>
  <c r="G831" i="12"/>
  <c r="F831" i="12"/>
  <c r="E831" i="12"/>
  <c r="D831" i="12"/>
  <c r="C831" i="12"/>
  <c r="B831" i="12"/>
  <c r="A831" i="12"/>
  <c r="G830" i="12"/>
  <c r="F830" i="12"/>
  <c r="E830" i="12"/>
  <c r="D830" i="12"/>
  <c r="C830" i="12"/>
  <c r="B830" i="12"/>
  <c r="A830" i="12"/>
  <c r="G829" i="12"/>
  <c r="F829" i="12"/>
  <c r="E829" i="12"/>
  <c r="D829" i="12"/>
  <c r="C829" i="12"/>
  <c r="B829" i="12"/>
  <c r="A829" i="12"/>
  <c r="G828" i="12"/>
  <c r="F828" i="12"/>
  <c r="E828" i="12"/>
  <c r="D828" i="12"/>
  <c r="C828" i="12"/>
  <c r="B828" i="12"/>
  <c r="A828" i="12"/>
  <c r="G827" i="12"/>
  <c r="F827" i="12"/>
  <c r="E827" i="12"/>
  <c r="D827" i="12"/>
  <c r="C827" i="12"/>
  <c r="B827" i="12"/>
  <c r="A827" i="12"/>
  <c r="G826" i="12"/>
  <c r="F826" i="12"/>
  <c r="E826" i="12"/>
  <c r="D826" i="12"/>
  <c r="C826" i="12"/>
  <c r="B826" i="12"/>
  <c r="A826" i="12"/>
  <c r="G825" i="12"/>
  <c r="F825" i="12"/>
  <c r="E825" i="12"/>
  <c r="D825" i="12"/>
  <c r="C825" i="12"/>
  <c r="B825" i="12"/>
  <c r="A825" i="12"/>
  <c r="G824" i="12"/>
  <c r="F824" i="12"/>
  <c r="E824" i="12"/>
  <c r="D824" i="12"/>
  <c r="C824" i="12"/>
  <c r="B824" i="12"/>
  <c r="A824" i="12"/>
  <c r="G823" i="12"/>
  <c r="F823" i="12"/>
  <c r="E823" i="12"/>
  <c r="D823" i="12"/>
  <c r="C823" i="12"/>
  <c r="B823" i="12"/>
  <c r="A823" i="12"/>
  <c r="G822" i="12"/>
  <c r="F822" i="12"/>
  <c r="E822" i="12"/>
  <c r="D822" i="12"/>
  <c r="C822" i="12"/>
  <c r="B822" i="12"/>
  <c r="A822" i="12"/>
  <c r="G821" i="12"/>
  <c r="F821" i="12"/>
  <c r="E821" i="12"/>
  <c r="D821" i="12"/>
  <c r="C821" i="12"/>
  <c r="B821" i="12"/>
  <c r="A821" i="12"/>
  <c r="G820" i="12"/>
  <c r="F820" i="12"/>
  <c r="E820" i="12"/>
  <c r="D820" i="12"/>
  <c r="C820" i="12"/>
  <c r="B820" i="12"/>
  <c r="A820" i="12"/>
  <c r="G819" i="12"/>
  <c r="F819" i="12"/>
  <c r="E819" i="12"/>
  <c r="D819" i="12"/>
  <c r="C819" i="12"/>
  <c r="B819" i="12"/>
  <c r="A819" i="12"/>
  <c r="G818" i="12"/>
  <c r="F818" i="12"/>
  <c r="E818" i="12"/>
  <c r="D818" i="12"/>
  <c r="C818" i="12"/>
  <c r="B818" i="12"/>
  <c r="A818" i="12"/>
  <c r="G817" i="12"/>
  <c r="F817" i="12"/>
  <c r="E817" i="12"/>
  <c r="D817" i="12"/>
  <c r="C817" i="12"/>
  <c r="B817" i="12"/>
  <c r="A817" i="12"/>
  <c r="G816" i="12"/>
  <c r="F816" i="12"/>
  <c r="E816" i="12"/>
  <c r="D816" i="12"/>
  <c r="C816" i="12"/>
  <c r="B816" i="12"/>
  <c r="A816" i="12"/>
  <c r="G815" i="12"/>
  <c r="F815" i="12"/>
  <c r="E815" i="12"/>
  <c r="D815" i="12"/>
  <c r="C815" i="12"/>
  <c r="B815" i="12"/>
  <c r="A815" i="12"/>
  <c r="G814" i="12"/>
  <c r="F814" i="12"/>
  <c r="E814" i="12"/>
  <c r="D814" i="12"/>
  <c r="C814" i="12"/>
  <c r="B814" i="12"/>
  <c r="A814" i="12"/>
  <c r="G813" i="12"/>
  <c r="F813" i="12"/>
  <c r="E813" i="12"/>
  <c r="D813" i="12"/>
  <c r="C813" i="12"/>
  <c r="B813" i="12"/>
  <c r="A813" i="12"/>
  <c r="G812" i="12"/>
  <c r="F812" i="12"/>
  <c r="E812" i="12"/>
  <c r="D812" i="12"/>
  <c r="C812" i="12"/>
  <c r="B812" i="12"/>
  <c r="A812" i="12"/>
  <c r="G811" i="12"/>
  <c r="F811" i="12"/>
  <c r="E811" i="12"/>
  <c r="D811" i="12"/>
  <c r="C811" i="12"/>
  <c r="B811" i="12"/>
  <c r="A811" i="12"/>
  <c r="G810" i="12"/>
  <c r="F810" i="12"/>
  <c r="E810" i="12"/>
  <c r="D810" i="12"/>
  <c r="C810" i="12"/>
  <c r="B810" i="12"/>
  <c r="A810" i="12"/>
  <c r="G809" i="12"/>
  <c r="F809" i="12"/>
  <c r="E809" i="12"/>
  <c r="D809" i="12"/>
  <c r="C809" i="12"/>
  <c r="B809" i="12"/>
  <c r="A809" i="12"/>
  <c r="G808" i="12"/>
  <c r="F808" i="12"/>
  <c r="E808" i="12"/>
  <c r="D808" i="12"/>
  <c r="C808" i="12"/>
  <c r="B808" i="12"/>
  <c r="A808" i="12"/>
  <c r="G807" i="12"/>
  <c r="F807" i="12"/>
  <c r="E807" i="12"/>
  <c r="D807" i="12"/>
  <c r="C807" i="12"/>
  <c r="B807" i="12"/>
  <c r="A807" i="12"/>
  <c r="G806" i="12"/>
  <c r="F806" i="12"/>
  <c r="E806" i="12"/>
  <c r="D806" i="12"/>
  <c r="C806" i="12"/>
  <c r="B806" i="12"/>
  <c r="A806" i="12"/>
  <c r="G805" i="12"/>
  <c r="F805" i="12"/>
  <c r="E805" i="12"/>
  <c r="D805" i="12"/>
  <c r="C805" i="12"/>
  <c r="B805" i="12"/>
  <c r="A805" i="12"/>
  <c r="G804" i="12"/>
  <c r="F804" i="12"/>
  <c r="E804" i="12"/>
  <c r="D804" i="12"/>
  <c r="C804" i="12"/>
  <c r="B804" i="12"/>
  <c r="A804" i="12"/>
  <c r="G803" i="12"/>
  <c r="F803" i="12"/>
  <c r="E803" i="12"/>
  <c r="D803" i="12"/>
  <c r="C803" i="12"/>
  <c r="B803" i="12"/>
  <c r="A803" i="12"/>
  <c r="G802" i="12"/>
  <c r="F802" i="12"/>
  <c r="E802" i="12"/>
  <c r="D802" i="12"/>
  <c r="C802" i="12"/>
  <c r="B802" i="12"/>
  <c r="A802" i="12"/>
  <c r="G801" i="12"/>
  <c r="F801" i="12"/>
  <c r="E801" i="12"/>
  <c r="D801" i="12"/>
  <c r="C801" i="12"/>
  <c r="B801" i="12"/>
  <c r="A801" i="12"/>
  <c r="G800" i="12"/>
  <c r="F800" i="12"/>
  <c r="E800" i="12"/>
  <c r="D800" i="12"/>
  <c r="C800" i="12"/>
  <c r="B800" i="12"/>
  <c r="A800" i="12"/>
  <c r="G799" i="12"/>
  <c r="F799" i="12"/>
  <c r="E799" i="12"/>
  <c r="D799" i="12"/>
  <c r="C799" i="12"/>
  <c r="B799" i="12"/>
  <c r="A799" i="12"/>
  <c r="G798" i="12"/>
  <c r="F798" i="12"/>
  <c r="E798" i="12"/>
  <c r="D798" i="12"/>
  <c r="C798" i="12"/>
  <c r="B798" i="12"/>
  <c r="A798" i="12"/>
  <c r="G797" i="12"/>
  <c r="F797" i="12"/>
  <c r="E797" i="12"/>
  <c r="D797" i="12"/>
  <c r="C797" i="12"/>
  <c r="B797" i="12"/>
  <c r="A797" i="12"/>
  <c r="G796" i="12"/>
  <c r="F796" i="12"/>
  <c r="E796" i="12"/>
  <c r="D796" i="12"/>
  <c r="C796" i="12"/>
  <c r="B796" i="12"/>
  <c r="A796" i="12"/>
  <c r="G795" i="12"/>
  <c r="F795" i="12"/>
  <c r="E795" i="12"/>
  <c r="D795" i="12"/>
  <c r="C795" i="12"/>
  <c r="B795" i="12"/>
  <c r="A795" i="12"/>
  <c r="G794" i="12"/>
  <c r="F794" i="12"/>
  <c r="E794" i="12"/>
  <c r="D794" i="12"/>
  <c r="C794" i="12"/>
  <c r="B794" i="12"/>
  <c r="A794" i="12"/>
  <c r="G793" i="12"/>
  <c r="F793" i="12"/>
  <c r="E793" i="12"/>
  <c r="D793" i="12"/>
  <c r="C793" i="12"/>
  <c r="B793" i="12"/>
  <c r="A793" i="12"/>
  <c r="G792" i="12"/>
  <c r="F792" i="12"/>
  <c r="E792" i="12"/>
  <c r="D792" i="12"/>
  <c r="C792" i="12"/>
  <c r="B792" i="12"/>
  <c r="A792" i="12"/>
  <c r="G791" i="12"/>
  <c r="F791" i="12"/>
  <c r="E791" i="12"/>
  <c r="D791" i="12"/>
  <c r="C791" i="12"/>
  <c r="B791" i="12"/>
  <c r="A791" i="12"/>
  <c r="G790" i="12"/>
  <c r="F790" i="12"/>
  <c r="E790" i="12"/>
  <c r="D790" i="12"/>
  <c r="C790" i="12"/>
  <c r="B790" i="12"/>
  <c r="A790" i="12"/>
  <c r="G789" i="12"/>
  <c r="F789" i="12"/>
  <c r="E789" i="12"/>
  <c r="D789" i="12"/>
  <c r="C789" i="12"/>
  <c r="B789" i="12"/>
  <c r="A789" i="12"/>
  <c r="G788" i="12"/>
  <c r="F788" i="12"/>
  <c r="E788" i="12"/>
  <c r="D788" i="12"/>
  <c r="C788" i="12"/>
  <c r="B788" i="12"/>
  <c r="A788" i="12"/>
  <c r="G787" i="12"/>
  <c r="F787" i="12"/>
  <c r="E787" i="12"/>
  <c r="D787" i="12"/>
  <c r="C787" i="12"/>
  <c r="B787" i="12"/>
  <c r="A787" i="12"/>
  <c r="G786" i="12"/>
  <c r="F786" i="12"/>
  <c r="E786" i="12"/>
  <c r="D786" i="12"/>
  <c r="C786" i="12"/>
  <c r="B786" i="12"/>
  <c r="A786" i="12"/>
  <c r="G785" i="12"/>
  <c r="F785" i="12"/>
  <c r="E785" i="12"/>
  <c r="D785" i="12"/>
  <c r="C785" i="12"/>
  <c r="B785" i="12"/>
  <c r="A785" i="12"/>
  <c r="G784" i="12"/>
  <c r="F784" i="12"/>
  <c r="E784" i="12"/>
  <c r="D784" i="12"/>
  <c r="C784" i="12"/>
  <c r="B784" i="12"/>
  <c r="A784" i="12"/>
  <c r="G783" i="12"/>
  <c r="F783" i="12"/>
  <c r="E783" i="12"/>
  <c r="D783" i="12"/>
  <c r="C783" i="12"/>
  <c r="B783" i="12"/>
  <c r="A783" i="12"/>
  <c r="G782" i="12"/>
  <c r="F782" i="12"/>
  <c r="E782" i="12"/>
  <c r="D782" i="12"/>
  <c r="C782" i="12"/>
  <c r="B782" i="12"/>
  <c r="A782" i="12"/>
  <c r="G781" i="12"/>
  <c r="F781" i="12"/>
  <c r="E781" i="12"/>
  <c r="D781" i="12"/>
  <c r="C781" i="12"/>
  <c r="B781" i="12"/>
  <c r="A781" i="12"/>
  <c r="G780" i="12"/>
  <c r="F780" i="12"/>
  <c r="E780" i="12"/>
  <c r="D780" i="12"/>
  <c r="C780" i="12"/>
  <c r="B780" i="12"/>
  <c r="A780" i="12"/>
  <c r="G779" i="12"/>
  <c r="F779" i="12"/>
  <c r="E779" i="12"/>
  <c r="D779" i="12"/>
  <c r="C779" i="12"/>
  <c r="B779" i="12"/>
  <c r="A779" i="12"/>
  <c r="G778" i="12"/>
  <c r="F778" i="12"/>
  <c r="E778" i="12"/>
  <c r="D778" i="12"/>
  <c r="C778" i="12"/>
  <c r="B778" i="12"/>
  <c r="A778" i="12"/>
  <c r="G777" i="12"/>
  <c r="F777" i="12"/>
  <c r="E777" i="12"/>
  <c r="D777" i="12"/>
  <c r="C777" i="12"/>
  <c r="B777" i="12"/>
  <c r="A777" i="12"/>
  <c r="G776" i="12"/>
  <c r="F776" i="12"/>
  <c r="E776" i="12"/>
  <c r="D776" i="12"/>
  <c r="C776" i="12"/>
  <c r="B776" i="12"/>
  <c r="A776" i="12"/>
  <c r="G775" i="12"/>
  <c r="F775" i="12"/>
  <c r="E775" i="12"/>
  <c r="D775" i="12"/>
  <c r="C775" i="12"/>
  <c r="B775" i="12"/>
  <c r="A775" i="12"/>
  <c r="G774" i="12"/>
  <c r="F774" i="12"/>
  <c r="E774" i="12"/>
  <c r="D774" i="12"/>
  <c r="C774" i="12"/>
  <c r="B774" i="12"/>
  <c r="A774" i="12"/>
  <c r="G773" i="12"/>
  <c r="F773" i="12"/>
  <c r="E773" i="12"/>
  <c r="D773" i="12"/>
  <c r="C773" i="12"/>
  <c r="B773" i="12"/>
  <c r="A773" i="12"/>
  <c r="G772" i="12"/>
  <c r="F772" i="12"/>
  <c r="E772" i="12"/>
  <c r="D772" i="12"/>
  <c r="C772" i="12"/>
  <c r="B772" i="12"/>
  <c r="A772" i="12"/>
  <c r="G771" i="12"/>
  <c r="F771" i="12"/>
  <c r="E771" i="12"/>
  <c r="D771" i="12"/>
  <c r="C771" i="12"/>
  <c r="B771" i="12"/>
  <c r="A771" i="12"/>
  <c r="G770" i="12"/>
  <c r="F770" i="12"/>
  <c r="E770" i="12"/>
  <c r="D770" i="12"/>
  <c r="C770" i="12"/>
  <c r="B770" i="12"/>
  <c r="A770" i="12"/>
  <c r="G769" i="12"/>
  <c r="F769" i="12"/>
  <c r="E769" i="12"/>
  <c r="D769" i="12"/>
  <c r="C769" i="12"/>
  <c r="B769" i="12"/>
  <c r="A769" i="12"/>
  <c r="G768" i="12"/>
  <c r="F768" i="12"/>
  <c r="E768" i="12"/>
  <c r="D768" i="12"/>
  <c r="C768" i="12"/>
  <c r="B768" i="12"/>
  <c r="A768" i="12"/>
  <c r="G767" i="12"/>
  <c r="F767" i="12"/>
  <c r="E767" i="12"/>
  <c r="D767" i="12"/>
  <c r="C767" i="12"/>
  <c r="B767" i="12"/>
  <c r="A767" i="12"/>
  <c r="G766" i="12"/>
  <c r="F766" i="12"/>
  <c r="E766" i="12"/>
  <c r="D766" i="12"/>
  <c r="C766" i="12"/>
  <c r="B766" i="12"/>
  <c r="A766" i="12"/>
  <c r="G765" i="12"/>
  <c r="F765" i="12"/>
  <c r="E765" i="12"/>
  <c r="D765" i="12"/>
  <c r="C765" i="12"/>
  <c r="B765" i="12"/>
  <c r="A765" i="12"/>
  <c r="G764" i="12"/>
  <c r="F764" i="12"/>
  <c r="E764" i="12"/>
  <c r="D764" i="12"/>
  <c r="C764" i="12"/>
  <c r="B764" i="12"/>
  <c r="A764" i="12"/>
  <c r="G763" i="12"/>
  <c r="F763" i="12"/>
  <c r="E763" i="12"/>
  <c r="D763" i="12"/>
  <c r="C763" i="12"/>
  <c r="B763" i="12"/>
  <c r="A763" i="12"/>
  <c r="G762" i="12"/>
  <c r="F762" i="12"/>
  <c r="E762" i="12"/>
  <c r="D762" i="12"/>
  <c r="C762" i="12"/>
  <c r="B762" i="12"/>
  <c r="A762" i="12"/>
  <c r="G761" i="12"/>
  <c r="F761" i="12"/>
  <c r="E761" i="12"/>
  <c r="D761" i="12"/>
  <c r="C761" i="12"/>
  <c r="B761" i="12"/>
  <c r="A761" i="12"/>
  <c r="G760" i="12"/>
  <c r="F760" i="12"/>
  <c r="E760" i="12"/>
  <c r="D760" i="12"/>
  <c r="C760" i="12"/>
  <c r="B760" i="12"/>
  <c r="A760" i="12"/>
  <c r="G759" i="12"/>
  <c r="F759" i="12"/>
  <c r="E759" i="12"/>
  <c r="D759" i="12"/>
  <c r="C759" i="12"/>
  <c r="B759" i="12"/>
  <c r="A759" i="12"/>
  <c r="G758" i="12"/>
  <c r="F758" i="12"/>
  <c r="E758" i="12"/>
  <c r="D758" i="12"/>
  <c r="C758" i="12"/>
  <c r="B758" i="12"/>
  <c r="A758" i="12"/>
  <c r="G757" i="12"/>
  <c r="F757" i="12"/>
  <c r="E757" i="12"/>
  <c r="D757" i="12"/>
  <c r="C757" i="12"/>
  <c r="B757" i="12"/>
  <c r="A757" i="12"/>
  <c r="G756" i="12"/>
  <c r="F756" i="12"/>
  <c r="E756" i="12"/>
  <c r="D756" i="12"/>
  <c r="C756" i="12"/>
  <c r="B756" i="12"/>
  <c r="A756" i="12"/>
  <c r="G755" i="12"/>
  <c r="F755" i="12"/>
  <c r="E755" i="12"/>
  <c r="D755" i="12"/>
  <c r="C755" i="12"/>
  <c r="B755" i="12"/>
  <c r="A755" i="12"/>
  <c r="G754" i="12"/>
  <c r="F754" i="12"/>
  <c r="E754" i="12"/>
  <c r="D754" i="12"/>
  <c r="C754" i="12"/>
  <c r="B754" i="12"/>
  <c r="A754" i="12"/>
  <c r="G753" i="12"/>
  <c r="F753" i="12"/>
  <c r="E753" i="12"/>
  <c r="D753" i="12"/>
  <c r="C753" i="12"/>
  <c r="B753" i="12"/>
  <c r="A753" i="12"/>
  <c r="G752" i="12"/>
  <c r="F752" i="12"/>
  <c r="E752" i="12"/>
  <c r="D752" i="12"/>
  <c r="C752" i="12"/>
  <c r="B752" i="12"/>
  <c r="A752" i="12"/>
  <c r="G751" i="12"/>
  <c r="F751" i="12"/>
  <c r="E751" i="12"/>
  <c r="D751" i="12"/>
  <c r="C751" i="12"/>
  <c r="B751" i="12"/>
  <c r="A751" i="12"/>
  <c r="G750" i="12"/>
  <c r="F750" i="12"/>
  <c r="E750" i="12"/>
  <c r="D750" i="12"/>
  <c r="C750" i="12"/>
  <c r="B750" i="12"/>
  <c r="A750" i="12"/>
  <c r="G749" i="12"/>
  <c r="F749" i="12"/>
  <c r="E749" i="12"/>
  <c r="D749" i="12"/>
  <c r="C749" i="12"/>
  <c r="B749" i="12"/>
  <c r="A749" i="12"/>
  <c r="G748" i="12"/>
  <c r="F748" i="12"/>
  <c r="E748" i="12"/>
  <c r="D748" i="12"/>
  <c r="C748" i="12"/>
  <c r="B748" i="12"/>
  <c r="A748" i="12"/>
  <c r="G747" i="12"/>
  <c r="F747" i="12"/>
  <c r="E747" i="12"/>
  <c r="D747" i="12"/>
  <c r="C747" i="12"/>
  <c r="B747" i="12"/>
  <c r="A747" i="12"/>
  <c r="G746" i="12"/>
  <c r="F746" i="12"/>
  <c r="E746" i="12"/>
  <c r="D746" i="12"/>
  <c r="C746" i="12"/>
  <c r="B746" i="12"/>
  <c r="A746" i="12"/>
  <c r="G745" i="12"/>
  <c r="F745" i="12"/>
  <c r="E745" i="12"/>
  <c r="D745" i="12"/>
  <c r="C745" i="12"/>
  <c r="B745" i="12"/>
  <c r="A745" i="12"/>
  <c r="G744" i="12"/>
  <c r="F744" i="12"/>
  <c r="E744" i="12"/>
  <c r="D744" i="12"/>
  <c r="C744" i="12"/>
  <c r="B744" i="12"/>
  <c r="A744" i="12"/>
  <c r="G743" i="12"/>
  <c r="F743" i="12"/>
  <c r="E743" i="12"/>
  <c r="D743" i="12"/>
  <c r="C743" i="12"/>
  <c r="B743" i="12"/>
  <c r="A743" i="12"/>
  <c r="G742" i="12"/>
  <c r="F742" i="12"/>
  <c r="E742" i="12"/>
  <c r="D742" i="12"/>
  <c r="C742" i="12"/>
  <c r="B742" i="12"/>
  <c r="A742" i="12"/>
  <c r="G741" i="12"/>
  <c r="F741" i="12"/>
  <c r="E741" i="12"/>
  <c r="D741" i="12"/>
  <c r="C741" i="12"/>
  <c r="B741" i="12"/>
  <c r="A741" i="12"/>
  <c r="G740" i="12"/>
  <c r="F740" i="12"/>
  <c r="E740" i="12"/>
  <c r="D740" i="12"/>
  <c r="C740" i="12"/>
  <c r="B740" i="12"/>
  <c r="A740" i="12"/>
  <c r="G739" i="12"/>
  <c r="F739" i="12"/>
  <c r="E739" i="12"/>
  <c r="D739" i="12"/>
  <c r="C739" i="12"/>
  <c r="B739" i="12"/>
  <c r="A739" i="12"/>
  <c r="G738" i="12"/>
  <c r="F738" i="12"/>
  <c r="E738" i="12"/>
  <c r="D738" i="12"/>
  <c r="C738" i="12"/>
  <c r="B738" i="12"/>
  <c r="A738" i="12"/>
  <c r="G737" i="12"/>
  <c r="F737" i="12"/>
  <c r="E737" i="12"/>
  <c r="D737" i="12"/>
  <c r="C737" i="12"/>
  <c r="B737" i="12"/>
  <c r="A737" i="12"/>
  <c r="G736" i="12"/>
  <c r="F736" i="12"/>
  <c r="E736" i="12"/>
  <c r="D736" i="12"/>
  <c r="C736" i="12"/>
  <c r="B736" i="12"/>
  <c r="A736" i="12"/>
  <c r="G735" i="12"/>
  <c r="F735" i="12"/>
  <c r="E735" i="12"/>
  <c r="D735" i="12"/>
  <c r="C735" i="12"/>
  <c r="B735" i="12"/>
  <c r="A735" i="12"/>
  <c r="G734" i="12"/>
  <c r="F734" i="12"/>
  <c r="E734" i="12"/>
  <c r="D734" i="12"/>
  <c r="C734" i="12"/>
  <c r="B734" i="12"/>
  <c r="A734" i="12"/>
  <c r="G733" i="12"/>
  <c r="F733" i="12"/>
  <c r="E733" i="12"/>
  <c r="D733" i="12"/>
  <c r="C733" i="12"/>
  <c r="B733" i="12"/>
  <c r="A733" i="12"/>
  <c r="G732" i="12"/>
  <c r="F732" i="12"/>
  <c r="E732" i="12"/>
  <c r="D732" i="12"/>
  <c r="C732" i="12"/>
  <c r="B732" i="12"/>
  <c r="A732" i="12"/>
  <c r="G731" i="12"/>
  <c r="F731" i="12"/>
  <c r="E731" i="12"/>
  <c r="D731" i="12"/>
  <c r="C731" i="12"/>
  <c r="B731" i="12"/>
  <c r="A731" i="12"/>
  <c r="G730" i="12"/>
  <c r="F730" i="12"/>
  <c r="E730" i="12"/>
  <c r="D730" i="12"/>
  <c r="C730" i="12"/>
  <c r="B730" i="12"/>
  <c r="A730" i="12"/>
  <c r="G729" i="12"/>
  <c r="F729" i="12"/>
  <c r="E729" i="12"/>
  <c r="D729" i="12"/>
  <c r="C729" i="12"/>
  <c r="B729" i="12"/>
  <c r="A729" i="12"/>
  <c r="G728" i="12"/>
  <c r="F728" i="12"/>
  <c r="E728" i="12"/>
  <c r="D728" i="12"/>
  <c r="C728" i="12"/>
  <c r="B728" i="12"/>
  <c r="A728" i="12"/>
  <c r="G727" i="12"/>
  <c r="F727" i="12"/>
  <c r="E727" i="12"/>
  <c r="D727" i="12"/>
  <c r="C727" i="12"/>
  <c r="B727" i="12"/>
  <c r="A727" i="12"/>
  <c r="G726" i="12"/>
  <c r="F726" i="12"/>
  <c r="E726" i="12"/>
  <c r="D726" i="12"/>
  <c r="C726" i="12"/>
  <c r="B726" i="12"/>
  <c r="A726" i="12"/>
  <c r="G725" i="12"/>
  <c r="F725" i="12"/>
  <c r="E725" i="12"/>
  <c r="D725" i="12"/>
  <c r="C725" i="12"/>
  <c r="B725" i="12"/>
  <c r="A725" i="12"/>
  <c r="G724" i="12"/>
  <c r="F724" i="12"/>
  <c r="E724" i="12"/>
  <c r="D724" i="12"/>
  <c r="C724" i="12"/>
  <c r="B724" i="12"/>
  <c r="A724" i="12"/>
  <c r="G723" i="12"/>
  <c r="F723" i="12"/>
  <c r="E723" i="12"/>
  <c r="D723" i="12"/>
  <c r="C723" i="12"/>
  <c r="B723" i="12"/>
  <c r="A723" i="12"/>
  <c r="G722" i="12"/>
  <c r="F722" i="12"/>
  <c r="E722" i="12"/>
  <c r="D722" i="12"/>
  <c r="C722" i="12"/>
  <c r="B722" i="12"/>
  <c r="A722" i="12"/>
  <c r="G721" i="12"/>
  <c r="F721" i="12"/>
  <c r="E721" i="12"/>
  <c r="D721" i="12"/>
  <c r="C721" i="12"/>
  <c r="B721" i="12"/>
  <c r="A721" i="12"/>
  <c r="G720" i="12"/>
  <c r="F720" i="12"/>
  <c r="E720" i="12"/>
  <c r="D720" i="12"/>
  <c r="C720" i="12"/>
  <c r="B720" i="12"/>
  <c r="A720" i="12"/>
  <c r="G719" i="12"/>
  <c r="F719" i="12"/>
  <c r="E719" i="12"/>
  <c r="D719" i="12"/>
  <c r="C719" i="12"/>
  <c r="B719" i="12"/>
  <c r="A719" i="12"/>
  <c r="G718" i="12"/>
  <c r="F718" i="12"/>
  <c r="E718" i="12"/>
  <c r="D718" i="12"/>
  <c r="C718" i="12"/>
  <c r="B718" i="12"/>
  <c r="A718" i="12"/>
  <c r="G717" i="12"/>
  <c r="F717" i="12"/>
  <c r="E717" i="12"/>
  <c r="D717" i="12"/>
  <c r="C717" i="12"/>
  <c r="B717" i="12"/>
  <c r="A717" i="12"/>
  <c r="G716" i="12"/>
  <c r="F716" i="12"/>
  <c r="E716" i="12"/>
  <c r="D716" i="12"/>
  <c r="C716" i="12"/>
  <c r="B716" i="12"/>
  <c r="A716" i="12"/>
  <c r="G715" i="12"/>
  <c r="F715" i="12"/>
  <c r="E715" i="12"/>
  <c r="D715" i="12"/>
  <c r="C715" i="12"/>
  <c r="B715" i="12"/>
  <c r="A715" i="12"/>
  <c r="G714" i="12"/>
  <c r="F714" i="12"/>
  <c r="E714" i="12"/>
  <c r="D714" i="12"/>
  <c r="C714" i="12"/>
  <c r="B714" i="12"/>
  <c r="A714" i="12"/>
  <c r="G713" i="12"/>
  <c r="F713" i="12"/>
  <c r="E713" i="12"/>
  <c r="D713" i="12"/>
  <c r="C713" i="12"/>
  <c r="B713" i="12"/>
  <c r="A713" i="12"/>
  <c r="G712" i="12"/>
  <c r="F712" i="12"/>
  <c r="E712" i="12"/>
  <c r="D712" i="12"/>
  <c r="C712" i="12"/>
  <c r="B712" i="12"/>
  <c r="A712" i="12"/>
  <c r="G711" i="12"/>
  <c r="F711" i="12"/>
  <c r="E711" i="12"/>
  <c r="D711" i="12"/>
  <c r="C711" i="12"/>
  <c r="B711" i="12"/>
  <c r="A711" i="12"/>
  <c r="G710" i="12"/>
  <c r="F710" i="12"/>
  <c r="E710" i="12"/>
  <c r="D710" i="12"/>
  <c r="C710" i="12"/>
  <c r="B710" i="12"/>
  <c r="A710" i="12"/>
  <c r="G709" i="12"/>
  <c r="F709" i="12"/>
  <c r="E709" i="12"/>
  <c r="D709" i="12"/>
  <c r="C709" i="12"/>
  <c r="B709" i="12"/>
  <c r="A709" i="12"/>
  <c r="G708" i="12"/>
  <c r="F708" i="12"/>
  <c r="E708" i="12"/>
  <c r="D708" i="12"/>
  <c r="C708" i="12"/>
  <c r="B708" i="12"/>
  <c r="A708" i="12"/>
  <c r="G707" i="12"/>
  <c r="F707" i="12"/>
  <c r="E707" i="12"/>
  <c r="D707" i="12"/>
  <c r="C707" i="12"/>
  <c r="B707" i="12"/>
  <c r="A707" i="12"/>
  <c r="G706" i="12"/>
  <c r="F706" i="12"/>
  <c r="E706" i="12"/>
  <c r="D706" i="12"/>
  <c r="C706" i="12"/>
  <c r="B706" i="12"/>
  <c r="A706" i="12"/>
  <c r="G705" i="12"/>
  <c r="F705" i="12"/>
  <c r="E705" i="12"/>
  <c r="D705" i="12"/>
  <c r="C705" i="12"/>
  <c r="B705" i="12"/>
  <c r="A705" i="12"/>
  <c r="G704" i="12"/>
  <c r="F704" i="12"/>
  <c r="E704" i="12"/>
  <c r="D704" i="12"/>
  <c r="C704" i="12"/>
  <c r="B704" i="12"/>
  <c r="A704" i="12"/>
  <c r="G703" i="12"/>
  <c r="F703" i="12"/>
  <c r="E703" i="12"/>
  <c r="D703" i="12"/>
  <c r="C703" i="12"/>
  <c r="B703" i="12"/>
  <c r="A703" i="12"/>
  <c r="G702" i="12"/>
  <c r="F702" i="12"/>
  <c r="E702" i="12"/>
  <c r="D702" i="12"/>
  <c r="C702" i="12"/>
  <c r="B702" i="12"/>
  <c r="A702" i="12"/>
  <c r="G701" i="12"/>
  <c r="F701" i="12"/>
  <c r="E701" i="12"/>
  <c r="D701" i="12"/>
  <c r="C701" i="12"/>
  <c r="B701" i="12"/>
  <c r="A701" i="12"/>
  <c r="G700" i="12"/>
  <c r="F700" i="12"/>
  <c r="E700" i="12"/>
  <c r="D700" i="12"/>
  <c r="C700" i="12"/>
  <c r="B700" i="12"/>
  <c r="A700" i="12"/>
  <c r="G699" i="12"/>
  <c r="F699" i="12"/>
  <c r="E699" i="12"/>
  <c r="D699" i="12"/>
  <c r="C699" i="12"/>
  <c r="B699" i="12"/>
  <c r="A699" i="12"/>
  <c r="G698" i="12"/>
  <c r="F698" i="12"/>
  <c r="E698" i="12"/>
  <c r="D698" i="12"/>
  <c r="C698" i="12"/>
  <c r="B698" i="12"/>
  <c r="A698" i="12"/>
  <c r="G697" i="12"/>
  <c r="F697" i="12"/>
  <c r="E697" i="12"/>
  <c r="D697" i="12"/>
  <c r="C697" i="12"/>
  <c r="B697" i="12"/>
  <c r="A697" i="12"/>
  <c r="G696" i="12"/>
  <c r="F696" i="12"/>
  <c r="E696" i="12"/>
  <c r="D696" i="12"/>
  <c r="C696" i="12"/>
  <c r="B696" i="12"/>
  <c r="A696" i="12"/>
  <c r="G695" i="12"/>
  <c r="F695" i="12"/>
  <c r="E695" i="12"/>
  <c r="D695" i="12"/>
  <c r="C695" i="12"/>
  <c r="B695" i="12"/>
  <c r="A695" i="12"/>
  <c r="G694" i="12"/>
  <c r="F694" i="12"/>
  <c r="E694" i="12"/>
  <c r="D694" i="12"/>
  <c r="C694" i="12"/>
  <c r="B694" i="12"/>
  <c r="A694" i="12"/>
  <c r="G693" i="12"/>
  <c r="F693" i="12"/>
  <c r="E693" i="12"/>
  <c r="D693" i="12"/>
  <c r="C693" i="12"/>
  <c r="B693" i="12"/>
  <c r="A693" i="12"/>
  <c r="G692" i="12"/>
  <c r="F692" i="12"/>
  <c r="E692" i="12"/>
  <c r="D692" i="12"/>
  <c r="C692" i="12"/>
  <c r="B692" i="12"/>
  <c r="A692" i="12"/>
  <c r="G691" i="12"/>
  <c r="F691" i="12"/>
  <c r="E691" i="12"/>
  <c r="D691" i="12"/>
  <c r="C691" i="12"/>
  <c r="B691" i="12"/>
  <c r="A691" i="12"/>
  <c r="G690" i="12"/>
  <c r="F690" i="12"/>
  <c r="E690" i="12"/>
  <c r="D690" i="12"/>
  <c r="C690" i="12"/>
  <c r="B690" i="12"/>
  <c r="A690" i="12"/>
  <c r="G689" i="12"/>
  <c r="F689" i="12"/>
  <c r="E689" i="12"/>
  <c r="D689" i="12"/>
  <c r="C689" i="12"/>
  <c r="B689" i="12"/>
  <c r="A689" i="12"/>
  <c r="G688" i="12"/>
  <c r="F688" i="12"/>
  <c r="E688" i="12"/>
  <c r="D688" i="12"/>
  <c r="C688" i="12"/>
  <c r="B688" i="12"/>
  <c r="A688" i="12"/>
  <c r="G687" i="12"/>
  <c r="F687" i="12"/>
  <c r="E687" i="12"/>
  <c r="D687" i="12"/>
  <c r="C687" i="12"/>
  <c r="B687" i="12"/>
  <c r="A687" i="12"/>
  <c r="G686" i="12"/>
  <c r="F686" i="12"/>
  <c r="E686" i="12"/>
  <c r="D686" i="12"/>
  <c r="C686" i="12"/>
  <c r="B686" i="12"/>
  <c r="A686" i="12"/>
  <c r="G685" i="12"/>
  <c r="F685" i="12"/>
  <c r="E685" i="12"/>
  <c r="D685" i="12"/>
  <c r="C685" i="12"/>
  <c r="B685" i="12"/>
  <c r="A685" i="12"/>
  <c r="G684" i="12"/>
  <c r="F684" i="12"/>
  <c r="E684" i="12"/>
  <c r="D684" i="12"/>
  <c r="C684" i="12"/>
  <c r="B684" i="12"/>
  <c r="A684" i="12"/>
  <c r="G683" i="12"/>
  <c r="F683" i="12"/>
  <c r="E683" i="12"/>
  <c r="D683" i="12"/>
  <c r="C683" i="12"/>
  <c r="B683" i="12"/>
  <c r="A683" i="12"/>
  <c r="G682" i="12"/>
  <c r="F682" i="12"/>
  <c r="E682" i="12"/>
  <c r="D682" i="12"/>
  <c r="C682" i="12"/>
  <c r="B682" i="12"/>
  <c r="A682" i="12"/>
  <c r="G681" i="12"/>
  <c r="F681" i="12"/>
  <c r="E681" i="12"/>
  <c r="D681" i="12"/>
  <c r="C681" i="12"/>
  <c r="B681" i="12"/>
  <c r="A681" i="12"/>
  <c r="G680" i="12"/>
  <c r="F680" i="12"/>
  <c r="E680" i="12"/>
  <c r="D680" i="12"/>
  <c r="C680" i="12"/>
  <c r="B680" i="12"/>
  <c r="A680" i="12"/>
  <c r="G679" i="12"/>
  <c r="F679" i="12"/>
  <c r="E679" i="12"/>
  <c r="D679" i="12"/>
  <c r="C679" i="12"/>
  <c r="B679" i="12"/>
  <c r="A679" i="12"/>
  <c r="G678" i="12"/>
  <c r="F678" i="12"/>
  <c r="E678" i="12"/>
  <c r="D678" i="12"/>
  <c r="C678" i="12"/>
  <c r="B678" i="12"/>
  <c r="A678" i="12"/>
  <c r="G677" i="12"/>
  <c r="F677" i="12"/>
  <c r="E677" i="12"/>
  <c r="D677" i="12"/>
  <c r="C677" i="12"/>
  <c r="B677" i="12"/>
  <c r="A677" i="12"/>
  <c r="G676" i="12"/>
  <c r="F676" i="12"/>
  <c r="E676" i="12"/>
  <c r="D676" i="12"/>
  <c r="C676" i="12"/>
  <c r="B676" i="12"/>
  <c r="A676" i="12"/>
  <c r="G675" i="12"/>
  <c r="F675" i="12"/>
  <c r="E675" i="12"/>
  <c r="D675" i="12"/>
  <c r="C675" i="12"/>
  <c r="B675" i="12"/>
  <c r="A675" i="12"/>
  <c r="G674" i="12"/>
  <c r="F674" i="12"/>
  <c r="E674" i="12"/>
  <c r="D674" i="12"/>
  <c r="C674" i="12"/>
  <c r="B674" i="12"/>
  <c r="A674" i="12"/>
  <c r="G673" i="12"/>
  <c r="F673" i="12"/>
  <c r="E673" i="12"/>
  <c r="D673" i="12"/>
  <c r="C673" i="12"/>
  <c r="B673" i="12"/>
  <c r="A673" i="12"/>
  <c r="G672" i="12"/>
  <c r="F672" i="12"/>
  <c r="E672" i="12"/>
  <c r="D672" i="12"/>
  <c r="C672" i="12"/>
  <c r="B672" i="12"/>
  <c r="A672" i="12"/>
  <c r="G671" i="12"/>
  <c r="F671" i="12"/>
  <c r="E671" i="12"/>
  <c r="D671" i="12"/>
  <c r="C671" i="12"/>
  <c r="B671" i="12"/>
  <c r="A671" i="12"/>
  <c r="G670" i="12"/>
  <c r="F670" i="12"/>
  <c r="E670" i="12"/>
  <c r="D670" i="12"/>
  <c r="C670" i="12"/>
  <c r="B670" i="12"/>
  <c r="A670" i="12"/>
  <c r="G669" i="12"/>
  <c r="F669" i="12"/>
  <c r="E669" i="12"/>
  <c r="D669" i="12"/>
  <c r="C669" i="12"/>
  <c r="B669" i="12"/>
  <c r="A669" i="12"/>
  <c r="G668" i="12"/>
  <c r="F668" i="12"/>
  <c r="E668" i="12"/>
  <c r="D668" i="12"/>
  <c r="C668" i="12"/>
  <c r="B668" i="12"/>
  <c r="A668" i="12"/>
  <c r="G667" i="12"/>
  <c r="F667" i="12"/>
  <c r="E667" i="12"/>
  <c r="D667" i="12"/>
  <c r="C667" i="12"/>
  <c r="B667" i="12"/>
  <c r="A667" i="12"/>
  <c r="G666" i="12"/>
  <c r="F666" i="12"/>
  <c r="E666" i="12"/>
  <c r="D666" i="12"/>
  <c r="C666" i="12"/>
  <c r="B666" i="12"/>
  <c r="A666" i="12"/>
  <c r="G665" i="12"/>
  <c r="F665" i="12"/>
  <c r="E665" i="12"/>
  <c r="D665" i="12"/>
  <c r="C665" i="12"/>
  <c r="B665" i="12"/>
  <c r="A665" i="12"/>
  <c r="G664" i="12"/>
  <c r="F664" i="12"/>
  <c r="E664" i="12"/>
  <c r="D664" i="12"/>
  <c r="C664" i="12"/>
  <c r="B664" i="12"/>
  <c r="A664" i="12"/>
  <c r="G663" i="12"/>
  <c r="F663" i="12"/>
  <c r="E663" i="12"/>
  <c r="D663" i="12"/>
  <c r="C663" i="12"/>
  <c r="B663" i="12"/>
  <c r="A663" i="12"/>
  <c r="G662" i="12"/>
  <c r="F662" i="12"/>
  <c r="E662" i="12"/>
  <c r="D662" i="12"/>
  <c r="C662" i="12"/>
  <c r="B662" i="12"/>
  <c r="A662" i="12"/>
  <c r="G661" i="12"/>
  <c r="F661" i="12"/>
  <c r="E661" i="12"/>
  <c r="D661" i="12"/>
  <c r="C661" i="12"/>
  <c r="B661" i="12"/>
  <c r="A661" i="12"/>
  <c r="G660" i="12"/>
  <c r="F660" i="12"/>
  <c r="E660" i="12"/>
  <c r="D660" i="12"/>
  <c r="C660" i="12"/>
  <c r="B660" i="12"/>
  <c r="A660" i="12"/>
  <c r="G659" i="12"/>
  <c r="F659" i="12"/>
  <c r="E659" i="12"/>
  <c r="D659" i="12"/>
  <c r="C659" i="12"/>
  <c r="B659" i="12"/>
  <c r="A659" i="12"/>
  <c r="G658" i="12"/>
  <c r="F658" i="12"/>
  <c r="E658" i="12"/>
  <c r="D658" i="12"/>
  <c r="C658" i="12"/>
  <c r="B658" i="12"/>
  <c r="A658" i="12"/>
  <c r="G657" i="12"/>
  <c r="F657" i="12"/>
  <c r="E657" i="12"/>
  <c r="D657" i="12"/>
  <c r="C657" i="12"/>
  <c r="B657" i="12"/>
  <c r="A657" i="12"/>
  <c r="G656" i="12"/>
  <c r="F656" i="12"/>
  <c r="E656" i="12"/>
  <c r="D656" i="12"/>
  <c r="C656" i="12"/>
  <c r="B656" i="12"/>
  <c r="A656" i="12"/>
  <c r="G655" i="12"/>
  <c r="F655" i="12"/>
  <c r="E655" i="12"/>
  <c r="D655" i="12"/>
  <c r="C655" i="12"/>
  <c r="B655" i="12"/>
  <c r="A655" i="12"/>
  <c r="G654" i="12"/>
  <c r="F654" i="12"/>
  <c r="E654" i="12"/>
  <c r="D654" i="12"/>
  <c r="C654" i="12"/>
  <c r="B654" i="12"/>
  <c r="A654" i="12"/>
  <c r="G653" i="12"/>
  <c r="F653" i="12"/>
  <c r="E653" i="12"/>
  <c r="D653" i="12"/>
  <c r="C653" i="12"/>
  <c r="B653" i="12"/>
  <c r="A653" i="12"/>
  <c r="G652" i="12"/>
  <c r="F652" i="12"/>
  <c r="E652" i="12"/>
  <c r="D652" i="12"/>
  <c r="C652" i="12"/>
  <c r="B652" i="12"/>
  <c r="A652" i="12"/>
  <c r="G651" i="12"/>
  <c r="F651" i="12"/>
  <c r="E651" i="12"/>
  <c r="D651" i="12"/>
  <c r="C651" i="12"/>
  <c r="B651" i="12"/>
  <c r="A651" i="12"/>
  <c r="G650" i="12"/>
  <c r="F650" i="12"/>
  <c r="E650" i="12"/>
  <c r="D650" i="12"/>
  <c r="C650" i="12"/>
  <c r="B650" i="12"/>
  <c r="A650" i="12"/>
  <c r="G649" i="12"/>
  <c r="F649" i="12"/>
  <c r="E649" i="12"/>
  <c r="D649" i="12"/>
  <c r="C649" i="12"/>
  <c r="B649" i="12"/>
  <c r="A649" i="12"/>
  <c r="G648" i="12"/>
  <c r="F648" i="12"/>
  <c r="E648" i="12"/>
  <c r="D648" i="12"/>
  <c r="C648" i="12"/>
  <c r="B648" i="12"/>
  <c r="A648" i="12"/>
  <c r="G647" i="12"/>
  <c r="F647" i="12"/>
  <c r="E647" i="12"/>
  <c r="D647" i="12"/>
  <c r="C647" i="12"/>
  <c r="B647" i="12"/>
  <c r="A647" i="12"/>
  <c r="G646" i="12"/>
  <c r="F646" i="12"/>
  <c r="E646" i="12"/>
  <c r="D646" i="12"/>
  <c r="C646" i="12"/>
  <c r="B646" i="12"/>
  <c r="A646" i="12"/>
  <c r="G645" i="12"/>
  <c r="F645" i="12"/>
  <c r="E645" i="12"/>
  <c r="D645" i="12"/>
  <c r="C645" i="12"/>
  <c r="B645" i="12"/>
  <c r="A645" i="12"/>
  <c r="G644" i="12"/>
  <c r="F644" i="12"/>
  <c r="E644" i="12"/>
  <c r="D644" i="12"/>
  <c r="C644" i="12"/>
  <c r="B644" i="12"/>
  <c r="A644" i="12"/>
  <c r="G643" i="12"/>
  <c r="F643" i="12"/>
  <c r="E643" i="12"/>
  <c r="D643" i="12"/>
  <c r="C643" i="12"/>
  <c r="B643" i="12"/>
  <c r="A643" i="12"/>
  <c r="G642" i="12"/>
  <c r="F642" i="12"/>
  <c r="E642" i="12"/>
  <c r="D642" i="12"/>
  <c r="C642" i="12"/>
  <c r="B642" i="12"/>
  <c r="A642" i="12"/>
  <c r="G641" i="12"/>
  <c r="F641" i="12"/>
  <c r="E641" i="12"/>
  <c r="D641" i="12"/>
  <c r="C641" i="12"/>
  <c r="B641" i="12"/>
  <c r="A641" i="12"/>
  <c r="G640" i="12"/>
  <c r="F640" i="12"/>
  <c r="E640" i="12"/>
  <c r="D640" i="12"/>
  <c r="C640" i="12"/>
  <c r="B640" i="12"/>
  <c r="A640" i="12"/>
  <c r="G639" i="12"/>
  <c r="F639" i="12"/>
  <c r="E639" i="12"/>
  <c r="D639" i="12"/>
  <c r="C639" i="12"/>
  <c r="B639" i="12"/>
  <c r="A639" i="12"/>
  <c r="G638" i="12"/>
  <c r="F638" i="12"/>
  <c r="E638" i="12"/>
  <c r="D638" i="12"/>
  <c r="C638" i="12"/>
  <c r="B638" i="12"/>
  <c r="A638" i="12"/>
  <c r="G637" i="12"/>
  <c r="F637" i="12"/>
  <c r="E637" i="12"/>
  <c r="D637" i="12"/>
  <c r="C637" i="12"/>
  <c r="B637" i="12"/>
  <c r="A637" i="12"/>
  <c r="G636" i="12"/>
  <c r="F636" i="12"/>
  <c r="E636" i="12"/>
  <c r="D636" i="12"/>
  <c r="C636" i="12"/>
  <c r="B636" i="12"/>
  <c r="A636" i="12"/>
  <c r="G635" i="12"/>
  <c r="F635" i="12"/>
  <c r="E635" i="12"/>
  <c r="D635" i="12"/>
  <c r="C635" i="12"/>
  <c r="B635" i="12"/>
  <c r="A635" i="12"/>
  <c r="G634" i="12"/>
  <c r="F634" i="12"/>
  <c r="E634" i="12"/>
  <c r="D634" i="12"/>
  <c r="C634" i="12"/>
  <c r="B634" i="12"/>
  <c r="A634" i="12"/>
  <c r="G633" i="12"/>
  <c r="F633" i="12"/>
  <c r="E633" i="12"/>
  <c r="D633" i="12"/>
  <c r="C633" i="12"/>
  <c r="B633" i="12"/>
  <c r="A633" i="12"/>
  <c r="G632" i="12"/>
  <c r="F632" i="12"/>
  <c r="E632" i="12"/>
  <c r="D632" i="12"/>
  <c r="C632" i="12"/>
  <c r="B632" i="12"/>
  <c r="A632" i="12"/>
  <c r="G631" i="12"/>
  <c r="F631" i="12"/>
  <c r="E631" i="12"/>
  <c r="D631" i="12"/>
  <c r="C631" i="12"/>
  <c r="B631" i="12"/>
  <c r="A631" i="12"/>
  <c r="G630" i="12"/>
  <c r="F630" i="12"/>
  <c r="E630" i="12"/>
  <c r="D630" i="12"/>
  <c r="C630" i="12"/>
  <c r="B630" i="12"/>
  <c r="A630" i="12"/>
  <c r="G629" i="12"/>
  <c r="F629" i="12"/>
  <c r="E629" i="12"/>
  <c r="D629" i="12"/>
  <c r="C629" i="12"/>
  <c r="B629" i="12"/>
  <c r="A629" i="12"/>
  <c r="G628" i="12"/>
  <c r="F628" i="12"/>
  <c r="E628" i="12"/>
  <c r="D628" i="12"/>
  <c r="C628" i="12"/>
  <c r="B628" i="12"/>
  <c r="A628" i="12"/>
  <c r="G627" i="12"/>
  <c r="F627" i="12"/>
  <c r="E627" i="12"/>
  <c r="D627" i="12"/>
  <c r="C627" i="12"/>
  <c r="B627" i="12"/>
  <c r="A627" i="12"/>
  <c r="G626" i="12"/>
  <c r="F626" i="12"/>
  <c r="E626" i="12"/>
  <c r="D626" i="12"/>
  <c r="C626" i="12"/>
  <c r="B626" i="12"/>
  <c r="A626" i="12"/>
  <c r="G625" i="12"/>
  <c r="F625" i="12"/>
  <c r="E625" i="12"/>
  <c r="D625" i="12"/>
  <c r="C625" i="12"/>
  <c r="B625" i="12"/>
  <c r="A625" i="12"/>
  <c r="G624" i="12"/>
  <c r="F624" i="12"/>
  <c r="E624" i="12"/>
  <c r="D624" i="12"/>
  <c r="C624" i="12"/>
  <c r="B624" i="12"/>
  <c r="A624" i="12"/>
  <c r="G623" i="12"/>
  <c r="F623" i="12"/>
  <c r="E623" i="12"/>
  <c r="D623" i="12"/>
  <c r="C623" i="12"/>
  <c r="B623" i="12"/>
  <c r="A623" i="12"/>
  <c r="G622" i="12"/>
  <c r="F622" i="12"/>
  <c r="E622" i="12"/>
  <c r="D622" i="12"/>
  <c r="C622" i="12"/>
  <c r="B622" i="12"/>
  <c r="A622" i="12"/>
  <c r="G621" i="12"/>
  <c r="F621" i="12"/>
  <c r="E621" i="12"/>
  <c r="D621" i="12"/>
  <c r="C621" i="12"/>
  <c r="B621" i="12"/>
  <c r="A621" i="12"/>
  <c r="G620" i="12"/>
  <c r="F620" i="12"/>
  <c r="E620" i="12"/>
  <c r="D620" i="12"/>
  <c r="C620" i="12"/>
  <c r="B620" i="12"/>
  <c r="A620" i="12"/>
  <c r="G619" i="12"/>
  <c r="F619" i="12"/>
  <c r="E619" i="12"/>
  <c r="D619" i="12"/>
  <c r="C619" i="12"/>
  <c r="B619" i="12"/>
  <c r="A619" i="12"/>
  <c r="G618" i="12"/>
  <c r="F618" i="12"/>
  <c r="E618" i="12"/>
  <c r="D618" i="12"/>
  <c r="C618" i="12"/>
  <c r="B618" i="12"/>
  <c r="A618" i="12"/>
  <c r="G617" i="12"/>
  <c r="F617" i="12"/>
  <c r="E617" i="12"/>
  <c r="D617" i="12"/>
  <c r="C617" i="12"/>
  <c r="B617" i="12"/>
  <c r="A617" i="12"/>
  <c r="G616" i="12"/>
  <c r="F616" i="12"/>
  <c r="E616" i="12"/>
  <c r="D616" i="12"/>
  <c r="C616" i="12"/>
  <c r="B616" i="12"/>
  <c r="A616" i="12"/>
  <c r="G615" i="12"/>
  <c r="F615" i="12"/>
  <c r="E615" i="12"/>
  <c r="D615" i="12"/>
  <c r="C615" i="12"/>
  <c r="B615" i="12"/>
  <c r="A615" i="12"/>
  <c r="G614" i="12"/>
  <c r="F614" i="12"/>
  <c r="E614" i="12"/>
  <c r="D614" i="12"/>
  <c r="C614" i="12"/>
  <c r="B614" i="12"/>
  <c r="A614" i="12"/>
  <c r="G613" i="12"/>
  <c r="F613" i="12"/>
  <c r="E613" i="12"/>
  <c r="D613" i="12"/>
  <c r="C613" i="12"/>
  <c r="B613" i="12"/>
  <c r="A613" i="12"/>
  <c r="G612" i="12"/>
  <c r="F612" i="12"/>
  <c r="E612" i="12"/>
  <c r="D612" i="12"/>
  <c r="C612" i="12"/>
  <c r="B612" i="12"/>
  <c r="A612" i="12"/>
  <c r="G611" i="12"/>
  <c r="F611" i="12"/>
  <c r="E611" i="12"/>
  <c r="D611" i="12"/>
  <c r="C611" i="12"/>
  <c r="B611" i="12"/>
  <c r="A611" i="12"/>
  <c r="G610" i="12"/>
  <c r="F610" i="12"/>
  <c r="E610" i="12"/>
  <c r="D610" i="12"/>
  <c r="C610" i="12"/>
  <c r="B610" i="12"/>
  <c r="A610" i="12"/>
  <c r="G609" i="12"/>
  <c r="F609" i="12"/>
  <c r="E609" i="12"/>
  <c r="D609" i="12"/>
  <c r="C609" i="12"/>
  <c r="B609" i="12"/>
  <c r="A609" i="12"/>
  <c r="G608" i="12"/>
  <c r="F608" i="12"/>
  <c r="E608" i="12"/>
  <c r="D608" i="12"/>
  <c r="C608" i="12"/>
  <c r="B608" i="12"/>
  <c r="A608" i="12"/>
  <c r="G607" i="12"/>
  <c r="F607" i="12"/>
  <c r="E607" i="12"/>
  <c r="D607" i="12"/>
  <c r="C607" i="12"/>
  <c r="B607" i="12"/>
  <c r="A607" i="12"/>
  <c r="G606" i="12"/>
  <c r="F606" i="12"/>
  <c r="E606" i="12"/>
  <c r="D606" i="12"/>
  <c r="C606" i="12"/>
  <c r="B606" i="12"/>
  <c r="A606" i="12"/>
  <c r="G605" i="12"/>
  <c r="F605" i="12"/>
  <c r="E605" i="12"/>
  <c r="D605" i="12"/>
  <c r="C605" i="12"/>
  <c r="B605" i="12"/>
  <c r="A605" i="12"/>
  <c r="G604" i="12"/>
  <c r="F604" i="12"/>
  <c r="E604" i="12"/>
  <c r="D604" i="12"/>
  <c r="C604" i="12"/>
  <c r="B604" i="12"/>
  <c r="A604" i="12"/>
  <c r="G603" i="12"/>
  <c r="F603" i="12"/>
  <c r="E603" i="12"/>
  <c r="D603" i="12"/>
  <c r="C603" i="12"/>
  <c r="B603" i="12"/>
  <c r="A603" i="12"/>
  <c r="G602" i="12"/>
  <c r="F602" i="12"/>
  <c r="E602" i="12"/>
  <c r="D602" i="12"/>
  <c r="C602" i="12"/>
  <c r="B602" i="12"/>
  <c r="A602" i="12"/>
  <c r="G601" i="12"/>
  <c r="F601" i="12"/>
  <c r="E601" i="12"/>
  <c r="D601" i="12"/>
  <c r="C601" i="12"/>
  <c r="B601" i="12"/>
  <c r="A601" i="12"/>
  <c r="G600" i="12"/>
  <c r="F600" i="12"/>
  <c r="E600" i="12"/>
  <c r="D600" i="12"/>
  <c r="C600" i="12"/>
  <c r="B600" i="12"/>
  <c r="A600" i="12"/>
  <c r="G599" i="12"/>
  <c r="F599" i="12"/>
  <c r="E599" i="12"/>
  <c r="D599" i="12"/>
  <c r="C599" i="12"/>
  <c r="B599" i="12"/>
  <c r="A599" i="12"/>
  <c r="G598" i="12"/>
  <c r="F598" i="12"/>
  <c r="E598" i="12"/>
  <c r="D598" i="12"/>
  <c r="C598" i="12"/>
  <c r="B598" i="12"/>
  <c r="A598" i="12"/>
  <c r="G597" i="12"/>
  <c r="F597" i="12"/>
  <c r="E597" i="12"/>
  <c r="D597" i="12"/>
  <c r="C597" i="12"/>
  <c r="B597" i="12"/>
  <c r="A597" i="12"/>
  <c r="G596" i="12"/>
  <c r="F596" i="12"/>
  <c r="E596" i="12"/>
  <c r="D596" i="12"/>
  <c r="C596" i="12"/>
  <c r="B596" i="12"/>
  <c r="A596" i="12"/>
  <c r="G595" i="12"/>
  <c r="F595" i="12"/>
  <c r="E595" i="12"/>
  <c r="D595" i="12"/>
  <c r="C595" i="12"/>
  <c r="B595" i="12"/>
  <c r="A595" i="12"/>
  <c r="G594" i="12"/>
  <c r="F594" i="12"/>
  <c r="E594" i="12"/>
  <c r="D594" i="12"/>
  <c r="C594" i="12"/>
  <c r="B594" i="12"/>
  <c r="A594" i="12"/>
  <c r="G593" i="12"/>
  <c r="F593" i="12"/>
  <c r="E593" i="12"/>
  <c r="D593" i="12"/>
  <c r="C593" i="12"/>
  <c r="B593" i="12"/>
  <c r="A593" i="12"/>
  <c r="G592" i="12"/>
  <c r="F592" i="12"/>
  <c r="E592" i="12"/>
  <c r="D592" i="12"/>
  <c r="C592" i="12"/>
  <c r="B592" i="12"/>
  <c r="A592" i="12"/>
  <c r="G591" i="12"/>
  <c r="F591" i="12"/>
  <c r="E591" i="12"/>
  <c r="D591" i="12"/>
  <c r="C591" i="12"/>
  <c r="B591" i="12"/>
  <c r="A591" i="12"/>
  <c r="G590" i="12"/>
  <c r="F590" i="12"/>
  <c r="E590" i="12"/>
  <c r="D590" i="12"/>
  <c r="C590" i="12"/>
  <c r="B590" i="12"/>
  <c r="A590" i="12"/>
  <c r="G589" i="12"/>
  <c r="F589" i="12"/>
  <c r="E589" i="12"/>
  <c r="D589" i="12"/>
  <c r="C589" i="12"/>
  <c r="B589" i="12"/>
  <c r="A589" i="12"/>
  <c r="G588" i="12"/>
  <c r="F588" i="12"/>
  <c r="E588" i="12"/>
  <c r="D588" i="12"/>
  <c r="C588" i="12"/>
  <c r="B588" i="12"/>
  <c r="A588" i="12"/>
  <c r="G587" i="12"/>
  <c r="F587" i="12"/>
  <c r="E587" i="12"/>
  <c r="D587" i="12"/>
  <c r="C587" i="12"/>
  <c r="B587" i="12"/>
  <c r="A587" i="12"/>
  <c r="G586" i="12"/>
  <c r="F586" i="12"/>
  <c r="E586" i="12"/>
  <c r="D586" i="12"/>
  <c r="C586" i="12"/>
  <c r="B586" i="12"/>
  <c r="A586" i="12"/>
  <c r="G585" i="12"/>
  <c r="F585" i="12"/>
  <c r="E585" i="12"/>
  <c r="D585" i="12"/>
  <c r="C585" i="12"/>
  <c r="B585" i="12"/>
  <c r="A585" i="12"/>
  <c r="G584" i="12"/>
  <c r="F584" i="12"/>
  <c r="E584" i="12"/>
  <c r="D584" i="12"/>
  <c r="C584" i="12"/>
  <c r="B584" i="12"/>
  <c r="A584" i="12"/>
  <c r="G583" i="12"/>
  <c r="F583" i="12"/>
  <c r="E583" i="12"/>
  <c r="D583" i="12"/>
  <c r="C583" i="12"/>
  <c r="B583" i="12"/>
  <c r="A583" i="12"/>
  <c r="G582" i="12"/>
  <c r="F582" i="12"/>
  <c r="E582" i="12"/>
  <c r="D582" i="12"/>
  <c r="C582" i="12"/>
  <c r="B582" i="12"/>
  <c r="A582" i="12"/>
  <c r="G581" i="12"/>
  <c r="F581" i="12"/>
  <c r="E581" i="12"/>
  <c r="D581" i="12"/>
  <c r="C581" i="12"/>
  <c r="B581" i="12"/>
  <c r="A581" i="12"/>
  <c r="G580" i="12"/>
  <c r="F580" i="12"/>
  <c r="E580" i="12"/>
  <c r="D580" i="12"/>
  <c r="C580" i="12"/>
  <c r="B580" i="12"/>
  <c r="A580" i="12"/>
  <c r="G579" i="12"/>
  <c r="F579" i="12"/>
  <c r="E579" i="12"/>
  <c r="D579" i="12"/>
  <c r="C579" i="12"/>
  <c r="B579" i="12"/>
  <c r="A579" i="12"/>
  <c r="G578" i="12"/>
  <c r="F578" i="12"/>
  <c r="E578" i="12"/>
  <c r="D578" i="12"/>
  <c r="C578" i="12"/>
  <c r="B578" i="12"/>
  <c r="A578" i="12"/>
  <c r="G577" i="12"/>
  <c r="F577" i="12"/>
  <c r="E577" i="12"/>
  <c r="D577" i="12"/>
  <c r="C577" i="12"/>
  <c r="B577" i="12"/>
  <c r="A577" i="12"/>
  <c r="G576" i="12"/>
  <c r="F576" i="12"/>
  <c r="E576" i="12"/>
  <c r="D576" i="12"/>
  <c r="C576" i="12"/>
  <c r="B576" i="12"/>
  <c r="A576" i="12"/>
  <c r="G575" i="12"/>
  <c r="F575" i="12"/>
  <c r="E575" i="12"/>
  <c r="D575" i="12"/>
  <c r="C575" i="12"/>
  <c r="B575" i="12"/>
  <c r="A575" i="12"/>
  <c r="G574" i="12"/>
  <c r="F574" i="12"/>
  <c r="E574" i="12"/>
  <c r="D574" i="12"/>
  <c r="C574" i="12"/>
  <c r="B574" i="12"/>
  <c r="A574" i="12"/>
  <c r="G573" i="12"/>
  <c r="F573" i="12"/>
  <c r="E573" i="12"/>
  <c r="D573" i="12"/>
  <c r="C573" i="12"/>
  <c r="B573" i="12"/>
  <c r="A573" i="12"/>
  <c r="G572" i="12"/>
  <c r="F572" i="12"/>
  <c r="E572" i="12"/>
  <c r="D572" i="12"/>
  <c r="C572" i="12"/>
  <c r="B572" i="12"/>
  <c r="A572" i="12"/>
  <c r="G571" i="12"/>
  <c r="F571" i="12"/>
  <c r="E571" i="12"/>
  <c r="D571" i="12"/>
  <c r="C571" i="12"/>
  <c r="B571" i="12"/>
  <c r="A571" i="12"/>
  <c r="G570" i="12"/>
  <c r="F570" i="12"/>
  <c r="E570" i="12"/>
  <c r="D570" i="12"/>
  <c r="C570" i="12"/>
  <c r="B570" i="12"/>
  <c r="A570" i="12"/>
  <c r="G569" i="12"/>
  <c r="F569" i="12"/>
  <c r="E569" i="12"/>
  <c r="D569" i="12"/>
  <c r="C569" i="12"/>
  <c r="B569" i="12"/>
  <c r="A569" i="12"/>
  <c r="G568" i="12"/>
  <c r="F568" i="12"/>
  <c r="E568" i="12"/>
  <c r="D568" i="12"/>
  <c r="C568" i="12"/>
  <c r="B568" i="12"/>
  <c r="A568" i="12"/>
  <c r="G567" i="12"/>
  <c r="F567" i="12"/>
  <c r="E567" i="12"/>
  <c r="D567" i="12"/>
  <c r="C567" i="12"/>
  <c r="B567" i="12"/>
  <c r="A567" i="12"/>
  <c r="G566" i="12"/>
  <c r="F566" i="12"/>
  <c r="E566" i="12"/>
  <c r="D566" i="12"/>
  <c r="C566" i="12"/>
  <c r="B566" i="12"/>
  <c r="A566" i="12"/>
  <c r="G565" i="12"/>
  <c r="F565" i="12"/>
  <c r="E565" i="12"/>
  <c r="D565" i="12"/>
  <c r="C565" i="12"/>
  <c r="B565" i="12"/>
  <c r="A565" i="12"/>
  <c r="G564" i="12"/>
  <c r="F564" i="12"/>
  <c r="E564" i="12"/>
  <c r="D564" i="12"/>
  <c r="C564" i="12"/>
  <c r="B564" i="12"/>
  <c r="A564" i="12"/>
  <c r="G563" i="12"/>
  <c r="F563" i="12"/>
  <c r="E563" i="12"/>
  <c r="D563" i="12"/>
  <c r="C563" i="12"/>
  <c r="B563" i="12"/>
  <c r="A563" i="12"/>
  <c r="G562" i="12"/>
  <c r="F562" i="12"/>
  <c r="E562" i="12"/>
  <c r="D562" i="12"/>
  <c r="C562" i="12"/>
  <c r="B562" i="12"/>
  <c r="A562" i="12"/>
  <c r="G561" i="12"/>
  <c r="F561" i="12"/>
  <c r="E561" i="12"/>
  <c r="D561" i="12"/>
  <c r="C561" i="12"/>
  <c r="B561" i="12"/>
  <c r="A561" i="12"/>
  <c r="G560" i="12"/>
  <c r="F560" i="12"/>
  <c r="E560" i="12"/>
  <c r="D560" i="12"/>
  <c r="C560" i="12"/>
  <c r="B560" i="12"/>
  <c r="A560" i="12"/>
  <c r="G559" i="12"/>
  <c r="F559" i="12"/>
  <c r="E559" i="12"/>
  <c r="D559" i="12"/>
  <c r="C559" i="12"/>
  <c r="B559" i="12"/>
  <c r="A559" i="12"/>
  <c r="G558" i="12"/>
  <c r="F558" i="12"/>
  <c r="E558" i="12"/>
  <c r="D558" i="12"/>
  <c r="C558" i="12"/>
  <c r="B558" i="12"/>
  <c r="A558" i="12"/>
  <c r="G557" i="12"/>
  <c r="F557" i="12"/>
  <c r="E557" i="12"/>
  <c r="D557" i="12"/>
  <c r="C557" i="12"/>
  <c r="B557" i="12"/>
  <c r="A557" i="12"/>
  <c r="G556" i="12"/>
  <c r="F556" i="12"/>
  <c r="E556" i="12"/>
  <c r="D556" i="12"/>
  <c r="C556" i="12"/>
  <c r="B556" i="12"/>
  <c r="A556" i="12"/>
  <c r="G555" i="12"/>
  <c r="F555" i="12"/>
  <c r="E555" i="12"/>
  <c r="D555" i="12"/>
  <c r="C555" i="12"/>
  <c r="B555" i="12"/>
  <c r="A555" i="12"/>
  <c r="G554" i="12"/>
  <c r="F554" i="12"/>
  <c r="E554" i="12"/>
  <c r="D554" i="12"/>
  <c r="C554" i="12"/>
  <c r="B554" i="12"/>
  <c r="A554" i="12"/>
  <c r="G553" i="12"/>
  <c r="F553" i="12"/>
  <c r="E553" i="12"/>
  <c r="D553" i="12"/>
  <c r="C553" i="12"/>
  <c r="B553" i="12"/>
  <c r="A553" i="12"/>
  <c r="G552" i="12"/>
  <c r="F552" i="12"/>
  <c r="E552" i="12"/>
  <c r="D552" i="12"/>
  <c r="C552" i="12"/>
  <c r="B552" i="12"/>
  <c r="A552" i="12"/>
  <c r="G551" i="12"/>
  <c r="F551" i="12"/>
  <c r="E551" i="12"/>
  <c r="D551" i="12"/>
  <c r="C551" i="12"/>
  <c r="B551" i="12"/>
  <c r="A551" i="12"/>
  <c r="G550" i="12"/>
  <c r="F550" i="12"/>
  <c r="E550" i="12"/>
  <c r="D550" i="12"/>
  <c r="C550" i="12"/>
  <c r="B550" i="12"/>
  <c r="A550" i="12"/>
  <c r="G549" i="12"/>
  <c r="F549" i="12"/>
  <c r="E549" i="12"/>
  <c r="D549" i="12"/>
  <c r="C549" i="12"/>
  <c r="B549" i="12"/>
  <c r="A549" i="12"/>
  <c r="G548" i="12"/>
  <c r="F548" i="12"/>
  <c r="E548" i="12"/>
  <c r="D548" i="12"/>
  <c r="C548" i="12"/>
  <c r="B548" i="12"/>
  <c r="A548" i="12"/>
  <c r="G547" i="12"/>
  <c r="F547" i="12"/>
  <c r="E547" i="12"/>
  <c r="D547" i="12"/>
  <c r="C547" i="12"/>
  <c r="B547" i="12"/>
  <c r="A547" i="12"/>
  <c r="G546" i="12"/>
  <c r="F546" i="12"/>
  <c r="E546" i="12"/>
  <c r="D546" i="12"/>
  <c r="C546" i="12"/>
  <c r="B546" i="12"/>
  <c r="A546" i="12"/>
  <c r="G545" i="12"/>
  <c r="F545" i="12"/>
  <c r="E545" i="12"/>
  <c r="D545" i="12"/>
  <c r="C545" i="12"/>
  <c r="B545" i="12"/>
  <c r="A545" i="12"/>
  <c r="G544" i="12"/>
  <c r="F544" i="12"/>
  <c r="E544" i="12"/>
  <c r="D544" i="12"/>
  <c r="C544" i="12"/>
  <c r="B544" i="12"/>
  <c r="A544" i="12"/>
  <c r="G543" i="12"/>
  <c r="F543" i="12"/>
  <c r="E543" i="12"/>
  <c r="D543" i="12"/>
  <c r="C543" i="12"/>
  <c r="B543" i="12"/>
  <c r="A543" i="12"/>
  <c r="G542" i="12"/>
  <c r="F542" i="12"/>
  <c r="E542" i="12"/>
  <c r="D542" i="12"/>
  <c r="C542" i="12"/>
  <c r="B542" i="12"/>
  <c r="A542" i="12"/>
  <c r="G541" i="12"/>
  <c r="F541" i="12"/>
  <c r="E541" i="12"/>
  <c r="D541" i="12"/>
  <c r="C541" i="12"/>
  <c r="B541" i="12"/>
  <c r="A541" i="12"/>
  <c r="G540" i="12"/>
  <c r="F540" i="12"/>
  <c r="E540" i="12"/>
  <c r="D540" i="12"/>
  <c r="C540" i="12"/>
  <c r="B540" i="12"/>
  <c r="A540" i="12"/>
  <c r="G539" i="12"/>
  <c r="F539" i="12"/>
  <c r="E539" i="12"/>
  <c r="D539" i="12"/>
  <c r="C539" i="12"/>
  <c r="B539" i="12"/>
  <c r="A539" i="12"/>
  <c r="G538" i="12"/>
  <c r="F538" i="12"/>
  <c r="E538" i="12"/>
  <c r="D538" i="12"/>
  <c r="C538" i="12"/>
  <c r="B538" i="12"/>
  <c r="A538" i="12"/>
  <c r="G537" i="12"/>
  <c r="F537" i="12"/>
  <c r="E537" i="12"/>
  <c r="D537" i="12"/>
  <c r="C537" i="12"/>
  <c r="B537" i="12"/>
  <c r="A537" i="12"/>
  <c r="G536" i="12"/>
  <c r="F536" i="12"/>
  <c r="E536" i="12"/>
  <c r="D536" i="12"/>
  <c r="C536" i="12"/>
  <c r="B536" i="12"/>
  <c r="A536" i="12"/>
  <c r="G535" i="12"/>
  <c r="F535" i="12"/>
  <c r="E535" i="12"/>
  <c r="D535" i="12"/>
  <c r="C535" i="12"/>
  <c r="B535" i="12"/>
  <c r="A535" i="12"/>
  <c r="G534" i="12"/>
  <c r="F534" i="12"/>
  <c r="E534" i="12"/>
  <c r="D534" i="12"/>
  <c r="C534" i="12"/>
  <c r="B534" i="12"/>
  <c r="A534" i="12"/>
  <c r="G533" i="12"/>
  <c r="F533" i="12"/>
  <c r="E533" i="12"/>
  <c r="D533" i="12"/>
  <c r="C533" i="12"/>
  <c r="B533" i="12"/>
  <c r="A533" i="12"/>
  <c r="G532" i="12"/>
  <c r="F532" i="12"/>
  <c r="E532" i="12"/>
  <c r="D532" i="12"/>
  <c r="C532" i="12"/>
  <c r="B532" i="12"/>
  <c r="A532" i="12"/>
  <c r="G531" i="12"/>
  <c r="F531" i="12"/>
  <c r="E531" i="12"/>
  <c r="D531" i="12"/>
  <c r="C531" i="12"/>
  <c r="B531" i="12"/>
  <c r="A531" i="12"/>
  <c r="G530" i="12"/>
  <c r="F530" i="12"/>
  <c r="E530" i="12"/>
  <c r="D530" i="12"/>
  <c r="C530" i="12"/>
  <c r="B530" i="12"/>
  <c r="A530" i="12"/>
  <c r="G529" i="12"/>
  <c r="F529" i="12"/>
  <c r="E529" i="12"/>
  <c r="D529" i="12"/>
  <c r="C529" i="12"/>
  <c r="B529" i="12"/>
  <c r="A529" i="12"/>
  <c r="G528" i="12"/>
  <c r="F528" i="12"/>
  <c r="E528" i="12"/>
  <c r="D528" i="12"/>
  <c r="C528" i="12"/>
  <c r="B528" i="12"/>
  <c r="A528" i="12"/>
  <c r="G527" i="12"/>
  <c r="F527" i="12"/>
  <c r="E527" i="12"/>
  <c r="D527" i="12"/>
  <c r="C527" i="12"/>
  <c r="B527" i="12"/>
  <c r="A527" i="12"/>
  <c r="G526" i="12"/>
  <c r="F526" i="12"/>
  <c r="E526" i="12"/>
  <c r="D526" i="12"/>
  <c r="C526" i="12"/>
  <c r="B526" i="12"/>
  <c r="A526" i="12"/>
  <c r="G525" i="12"/>
  <c r="F525" i="12"/>
  <c r="E525" i="12"/>
  <c r="D525" i="12"/>
  <c r="C525" i="12"/>
  <c r="B525" i="12"/>
  <c r="A525" i="12"/>
  <c r="G524" i="12"/>
  <c r="F524" i="12"/>
  <c r="E524" i="12"/>
  <c r="D524" i="12"/>
  <c r="C524" i="12"/>
  <c r="B524" i="12"/>
  <c r="A524" i="12"/>
  <c r="G523" i="12"/>
  <c r="F523" i="12"/>
  <c r="E523" i="12"/>
  <c r="D523" i="12"/>
  <c r="C523" i="12"/>
  <c r="B523" i="12"/>
  <c r="A523" i="12"/>
  <c r="G522" i="12"/>
  <c r="F522" i="12"/>
  <c r="E522" i="12"/>
  <c r="D522" i="12"/>
  <c r="C522" i="12"/>
  <c r="B522" i="12"/>
  <c r="A522" i="12"/>
  <c r="G521" i="12"/>
  <c r="F521" i="12"/>
  <c r="E521" i="12"/>
  <c r="D521" i="12"/>
  <c r="C521" i="12"/>
  <c r="B521" i="12"/>
  <c r="A521" i="12"/>
  <c r="G520" i="12"/>
  <c r="F520" i="12"/>
  <c r="E520" i="12"/>
  <c r="D520" i="12"/>
  <c r="C520" i="12"/>
  <c r="B520" i="12"/>
  <c r="A520" i="12"/>
  <c r="G519" i="12"/>
  <c r="F519" i="12"/>
  <c r="E519" i="12"/>
  <c r="D519" i="12"/>
  <c r="C519" i="12"/>
  <c r="B519" i="12"/>
  <c r="A519" i="12"/>
  <c r="G518" i="12"/>
  <c r="F518" i="12"/>
  <c r="E518" i="12"/>
  <c r="D518" i="12"/>
  <c r="C518" i="12"/>
  <c r="B518" i="12"/>
  <c r="A518" i="12"/>
  <c r="G517" i="12"/>
  <c r="F517" i="12"/>
  <c r="E517" i="12"/>
  <c r="D517" i="12"/>
  <c r="C517" i="12"/>
  <c r="B517" i="12"/>
  <c r="A517" i="12"/>
  <c r="G516" i="12"/>
  <c r="F516" i="12"/>
  <c r="E516" i="12"/>
  <c r="D516" i="12"/>
  <c r="C516" i="12"/>
  <c r="B516" i="12"/>
  <c r="A516" i="12"/>
  <c r="G515" i="12"/>
  <c r="F515" i="12"/>
  <c r="E515" i="12"/>
  <c r="D515" i="12"/>
  <c r="C515" i="12"/>
  <c r="B515" i="12"/>
  <c r="A515" i="12"/>
  <c r="G514" i="12"/>
  <c r="F514" i="12"/>
  <c r="E514" i="12"/>
  <c r="D514" i="12"/>
  <c r="C514" i="12"/>
  <c r="B514" i="12"/>
  <c r="A514" i="12"/>
  <c r="G513" i="12"/>
  <c r="F513" i="12"/>
  <c r="E513" i="12"/>
  <c r="D513" i="12"/>
  <c r="C513" i="12"/>
  <c r="B513" i="12"/>
  <c r="A513" i="12"/>
  <c r="G512" i="12"/>
  <c r="F512" i="12"/>
  <c r="E512" i="12"/>
  <c r="D512" i="12"/>
  <c r="C512" i="12"/>
  <c r="B512" i="12"/>
  <c r="A512" i="12"/>
  <c r="G511" i="12"/>
  <c r="F511" i="12"/>
  <c r="E511" i="12"/>
  <c r="D511" i="12"/>
  <c r="C511" i="12"/>
  <c r="B511" i="12"/>
  <c r="A511" i="12"/>
  <c r="G510" i="12"/>
  <c r="F510" i="12"/>
  <c r="E510" i="12"/>
  <c r="D510" i="12"/>
  <c r="C510" i="12"/>
  <c r="B510" i="12"/>
  <c r="A510" i="12"/>
  <c r="G509" i="12"/>
  <c r="F509" i="12"/>
  <c r="E509" i="12"/>
  <c r="D509" i="12"/>
  <c r="C509" i="12"/>
  <c r="B509" i="12"/>
  <c r="A509" i="12"/>
  <c r="G508" i="12"/>
  <c r="F508" i="12"/>
  <c r="E508" i="12"/>
  <c r="D508" i="12"/>
  <c r="C508" i="12"/>
  <c r="B508" i="12"/>
  <c r="A508" i="12"/>
  <c r="G507" i="12"/>
  <c r="F507" i="12"/>
  <c r="E507" i="12"/>
  <c r="D507" i="12"/>
  <c r="C507" i="12"/>
  <c r="B507" i="12"/>
  <c r="A507" i="12"/>
  <c r="G506" i="12"/>
  <c r="F506" i="12"/>
  <c r="E506" i="12"/>
  <c r="D506" i="12"/>
  <c r="C506" i="12"/>
  <c r="B506" i="12"/>
  <c r="A506" i="12"/>
  <c r="G505" i="12"/>
  <c r="F505" i="12"/>
  <c r="E505" i="12"/>
  <c r="D505" i="12"/>
  <c r="C505" i="12"/>
  <c r="B505" i="12"/>
  <c r="A505" i="12"/>
  <c r="G504" i="12"/>
  <c r="F504" i="12"/>
  <c r="E504" i="12"/>
  <c r="D504" i="12"/>
  <c r="C504" i="12"/>
  <c r="B504" i="12"/>
  <c r="A504" i="12"/>
  <c r="G503" i="12"/>
  <c r="F503" i="12"/>
  <c r="E503" i="12"/>
  <c r="D503" i="12"/>
  <c r="C503" i="12"/>
  <c r="B503" i="12"/>
  <c r="A503" i="12"/>
  <c r="G502" i="12"/>
  <c r="F502" i="12"/>
  <c r="E502" i="12"/>
  <c r="D502" i="12"/>
  <c r="C502" i="12"/>
  <c r="B502" i="12"/>
  <c r="A502" i="12"/>
  <c r="G501" i="12"/>
  <c r="F501" i="12"/>
  <c r="E501" i="12"/>
  <c r="D501" i="12"/>
  <c r="C501" i="12"/>
  <c r="B501" i="12"/>
  <c r="A501" i="12"/>
  <c r="G500" i="12"/>
  <c r="F500" i="12"/>
  <c r="E500" i="12"/>
  <c r="D500" i="12"/>
  <c r="C500" i="12"/>
  <c r="B500" i="12"/>
  <c r="A500" i="12"/>
  <c r="G499" i="12"/>
  <c r="F499" i="12"/>
  <c r="E499" i="12"/>
  <c r="D499" i="12"/>
  <c r="C499" i="12"/>
  <c r="B499" i="12"/>
  <c r="A499" i="12"/>
  <c r="G498" i="12"/>
  <c r="F498" i="12"/>
  <c r="E498" i="12"/>
  <c r="D498" i="12"/>
  <c r="C498" i="12"/>
  <c r="B498" i="12"/>
  <c r="A498" i="12"/>
  <c r="G497" i="12"/>
  <c r="F497" i="12"/>
  <c r="E497" i="12"/>
  <c r="D497" i="12"/>
  <c r="C497" i="12"/>
  <c r="B497" i="12"/>
  <c r="A497" i="12"/>
  <c r="G496" i="12"/>
  <c r="F496" i="12"/>
  <c r="E496" i="12"/>
  <c r="D496" i="12"/>
  <c r="C496" i="12"/>
  <c r="B496" i="12"/>
  <c r="A496" i="12"/>
  <c r="G495" i="12"/>
  <c r="F495" i="12"/>
  <c r="E495" i="12"/>
  <c r="D495" i="12"/>
  <c r="C495" i="12"/>
  <c r="B495" i="12"/>
  <c r="A495" i="12"/>
  <c r="G494" i="12"/>
  <c r="F494" i="12"/>
  <c r="E494" i="12"/>
  <c r="D494" i="12"/>
  <c r="C494" i="12"/>
  <c r="B494" i="12"/>
  <c r="A494" i="12"/>
  <c r="G493" i="12"/>
  <c r="F493" i="12"/>
  <c r="E493" i="12"/>
  <c r="D493" i="12"/>
  <c r="C493" i="12"/>
  <c r="B493" i="12"/>
  <c r="A493" i="12"/>
  <c r="G492" i="12"/>
  <c r="F492" i="12"/>
  <c r="E492" i="12"/>
  <c r="D492" i="12"/>
  <c r="C492" i="12"/>
  <c r="B492" i="12"/>
  <c r="A492" i="12"/>
  <c r="G491" i="12"/>
  <c r="F491" i="12"/>
  <c r="E491" i="12"/>
  <c r="D491" i="12"/>
  <c r="C491" i="12"/>
  <c r="B491" i="12"/>
  <c r="A491" i="12"/>
  <c r="G490" i="12"/>
  <c r="F490" i="12"/>
  <c r="E490" i="12"/>
  <c r="D490" i="12"/>
  <c r="C490" i="12"/>
  <c r="B490" i="12"/>
  <c r="A490" i="12"/>
  <c r="G489" i="12"/>
  <c r="F489" i="12"/>
  <c r="E489" i="12"/>
  <c r="D489" i="12"/>
  <c r="C489" i="12"/>
  <c r="B489" i="12"/>
  <c r="A489" i="12"/>
  <c r="G488" i="12"/>
  <c r="F488" i="12"/>
  <c r="E488" i="12"/>
  <c r="D488" i="12"/>
  <c r="C488" i="12"/>
  <c r="B488" i="12"/>
  <c r="A488" i="12"/>
  <c r="G487" i="12"/>
  <c r="F487" i="12"/>
  <c r="E487" i="12"/>
  <c r="D487" i="12"/>
  <c r="C487" i="12"/>
  <c r="B487" i="12"/>
  <c r="A487" i="12"/>
  <c r="G486" i="12"/>
  <c r="F486" i="12"/>
  <c r="E486" i="12"/>
  <c r="D486" i="12"/>
  <c r="C486" i="12"/>
  <c r="B486" i="12"/>
  <c r="A486" i="12"/>
  <c r="G485" i="12"/>
  <c r="F485" i="12"/>
  <c r="E485" i="12"/>
  <c r="D485" i="12"/>
  <c r="C485" i="12"/>
  <c r="B485" i="12"/>
  <c r="A485" i="12"/>
  <c r="G484" i="12"/>
  <c r="F484" i="12"/>
  <c r="E484" i="12"/>
  <c r="D484" i="12"/>
  <c r="C484" i="12"/>
  <c r="B484" i="12"/>
  <c r="A484" i="12"/>
  <c r="G483" i="12"/>
  <c r="F483" i="12"/>
  <c r="E483" i="12"/>
  <c r="D483" i="12"/>
  <c r="C483" i="12"/>
  <c r="B483" i="12"/>
  <c r="A483" i="12"/>
  <c r="G482" i="12"/>
  <c r="F482" i="12"/>
  <c r="E482" i="12"/>
  <c r="D482" i="12"/>
  <c r="C482" i="12"/>
  <c r="B482" i="12"/>
  <c r="A482" i="12"/>
  <c r="G481" i="12"/>
  <c r="F481" i="12"/>
  <c r="E481" i="12"/>
  <c r="D481" i="12"/>
  <c r="C481" i="12"/>
  <c r="B481" i="12"/>
  <c r="A481" i="12"/>
  <c r="G480" i="12"/>
  <c r="F480" i="12"/>
  <c r="E480" i="12"/>
  <c r="D480" i="12"/>
  <c r="C480" i="12"/>
  <c r="B480" i="12"/>
  <c r="A480" i="12"/>
  <c r="G479" i="12"/>
  <c r="F479" i="12"/>
  <c r="E479" i="12"/>
  <c r="D479" i="12"/>
  <c r="C479" i="12"/>
  <c r="B479" i="12"/>
  <c r="A479" i="12"/>
  <c r="G478" i="12"/>
  <c r="F478" i="12"/>
  <c r="E478" i="12"/>
  <c r="D478" i="12"/>
  <c r="C478" i="12"/>
  <c r="B478" i="12"/>
  <c r="A478" i="12"/>
  <c r="G477" i="12"/>
  <c r="F477" i="12"/>
  <c r="E477" i="12"/>
  <c r="D477" i="12"/>
  <c r="C477" i="12"/>
  <c r="B477" i="12"/>
  <c r="A477" i="12"/>
  <c r="G476" i="12"/>
  <c r="F476" i="12"/>
  <c r="E476" i="12"/>
  <c r="D476" i="12"/>
  <c r="C476" i="12"/>
  <c r="B476" i="12"/>
  <c r="A476" i="12"/>
  <c r="G475" i="12"/>
  <c r="F475" i="12"/>
  <c r="E475" i="12"/>
  <c r="D475" i="12"/>
  <c r="C475" i="12"/>
  <c r="B475" i="12"/>
  <c r="A475" i="12"/>
  <c r="G474" i="12"/>
  <c r="F474" i="12"/>
  <c r="E474" i="12"/>
  <c r="D474" i="12"/>
  <c r="C474" i="12"/>
  <c r="B474" i="12"/>
  <c r="A474" i="12"/>
  <c r="G473" i="12"/>
  <c r="F473" i="12"/>
  <c r="E473" i="12"/>
  <c r="D473" i="12"/>
  <c r="C473" i="12"/>
  <c r="B473" i="12"/>
  <c r="A473" i="12"/>
  <c r="G472" i="12"/>
  <c r="F472" i="12"/>
  <c r="E472" i="12"/>
  <c r="D472" i="12"/>
  <c r="C472" i="12"/>
  <c r="B472" i="12"/>
  <c r="A472" i="12"/>
  <c r="G471" i="12"/>
  <c r="F471" i="12"/>
  <c r="E471" i="12"/>
  <c r="D471" i="12"/>
  <c r="C471" i="12"/>
  <c r="B471" i="12"/>
  <c r="A471" i="12"/>
  <c r="G470" i="12"/>
  <c r="F470" i="12"/>
  <c r="E470" i="12"/>
  <c r="D470" i="12"/>
  <c r="C470" i="12"/>
  <c r="B470" i="12"/>
  <c r="A470" i="12"/>
  <c r="G469" i="12"/>
  <c r="F469" i="12"/>
  <c r="E469" i="12"/>
  <c r="D469" i="12"/>
  <c r="C469" i="12"/>
  <c r="B469" i="12"/>
  <c r="A469" i="12"/>
  <c r="G468" i="12"/>
  <c r="F468" i="12"/>
  <c r="E468" i="12"/>
  <c r="D468" i="12"/>
  <c r="C468" i="12"/>
  <c r="B468" i="12"/>
  <c r="A468" i="12"/>
  <c r="G467" i="12"/>
  <c r="F467" i="12"/>
  <c r="E467" i="12"/>
  <c r="D467" i="12"/>
  <c r="C467" i="12"/>
  <c r="B467" i="12"/>
  <c r="A467" i="12"/>
  <c r="G466" i="12"/>
  <c r="F466" i="12"/>
  <c r="E466" i="12"/>
  <c r="D466" i="12"/>
  <c r="C466" i="12"/>
  <c r="B466" i="12"/>
  <c r="A466" i="12"/>
  <c r="G465" i="12"/>
  <c r="F465" i="12"/>
  <c r="E465" i="12"/>
  <c r="D465" i="12"/>
  <c r="C465" i="12"/>
  <c r="B465" i="12"/>
  <c r="A465" i="12"/>
  <c r="G464" i="12"/>
  <c r="F464" i="12"/>
  <c r="E464" i="12"/>
  <c r="D464" i="12"/>
  <c r="C464" i="12"/>
  <c r="B464" i="12"/>
  <c r="A464" i="12"/>
  <c r="G463" i="12"/>
  <c r="F463" i="12"/>
  <c r="E463" i="12"/>
  <c r="D463" i="12"/>
  <c r="C463" i="12"/>
  <c r="B463" i="12"/>
  <c r="A463" i="12"/>
  <c r="G462" i="12"/>
  <c r="F462" i="12"/>
  <c r="E462" i="12"/>
  <c r="D462" i="12"/>
  <c r="C462" i="12"/>
  <c r="B462" i="12"/>
  <c r="A462" i="12"/>
  <c r="G461" i="12"/>
  <c r="F461" i="12"/>
  <c r="E461" i="12"/>
  <c r="D461" i="12"/>
  <c r="C461" i="12"/>
  <c r="B461" i="12"/>
  <c r="A461" i="12"/>
  <c r="G460" i="12"/>
  <c r="F460" i="12"/>
  <c r="E460" i="12"/>
  <c r="D460" i="12"/>
  <c r="C460" i="12"/>
  <c r="B460" i="12"/>
  <c r="A460" i="12"/>
  <c r="G459" i="12"/>
  <c r="F459" i="12"/>
  <c r="E459" i="12"/>
  <c r="D459" i="12"/>
  <c r="C459" i="12"/>
  <c r="B459" i="12"/>
  <c r="A459" i="12"/>
  <c r="G458" i="12"/>
  <c r="F458" i="12"/>
  <c r="E458" i="12"/>
  <c r="D458" i="12"/>
  <c r="C458" i="12"/>
  <c r="B458" i="12"/>
  <c r="A458" i="12"/>
  <c r="G457" i="12"/>
  <c r="F457" i="12"/>
  <c r="E457" i="12"/>
  <c r="D457" i="12"/>
  <c r="C457" i="12"/>
  <c r="B457" i="12"/>
  <c r="A457" i="12"/>
  <c r="G456" i="12"/>
  <c r="F456" i="12"/>
  <c r="E456" i="12"/>
  <c r="D456" i="12"/>
  <c r="C456" i="12"/>
  <c r="B456" i="12"/>
  <c r="A456" i="12"/>
  <c r="G455" i="12"/>
  <c r="F455" i="12"/>
  <c r="E455" i="12"/>
  <c r="D455" i="12"/>
  <c r="C455" i="12"/>
  <c r="B455" i="12"/>
  <c r="A455" i="12"/>
  <c r="G454" i="12"/>
  <c r="F454" i="12"/>
  <c r="E454" i="12"/>
  <c r="D454" i="12"/>
  <c r="C454" i="12"/>
  <c r="B454" i="12"/>
  <c r="A454" i="12"/>
  <c r="G453" i="12"/>
  <c r="F453" i="12"/>
  <c r="E453" i="12"/>
  <c r="D453" i="12"/>
  <c r="C453" i="12"/>
  <c r="B453" i="12"/>
  <c r="A453" i="12"/>
  <c r="G452" i="12"/>
  <c r="F452" i="12"/>
  <c r="E452" i="12"/>
  <c r="D452" i="12"/>
  <c r="C452" i="12"/>
  <c r="B452" i="12"/>
  <c r="A452" i="12"/>
  <c r="G451" i="12"/>
  <c r="F451" i="12"/>
  <c r="E451" i="12"/>
  <c r="D451" i="12"/>
  <c r="C451" i="12"/>
  <c r="B451" i="12"/>
  <c r="A451" i="12"/>
  <c r="G450" i="12"/>
  <c r="F450" i="12"/>
  <c r="E450" i="12"/>
  <c r="D450" i="12"/>
  <c r="C450" i="12"/>
  <c r="B450" i="12"/>
  <c r="A450" i="12"/>
  <c r="G449" i="12"/>
  <c r="F449" i="12"/>
  <c r="E449" i="12"/>
  <c r="D449" i="12"/>
  <c r="C449" i="12"/>
  <c r="B449" i="12"/>
  <c r="A449" i="12"/>
  <c r="G448" i="12"/>
  <c r="F448" i="12"/>
  <c r="E448" i="12"/>
  <c r="D448" i="12"/>
  <c r="C448" i="12"/>
  <c r="B448" i="12"/>
  <c r="A448" i="12"/>
  <c r="G447" i="12"/>
  <c r="F447" i="12"/>
  <c r="E447" i="12"/>
  <c r="D447" i="12"/>
  <c r="C447" i="12"/>
  <c r="B447" i="12"/>
  <c r="A447" i="12"/>
  <c r="G446" i="12"/>
  <c r="F446" i="12"/>
  <c r="E446" i="12"/>
  <c r="D446" i="12"/>
  <c r="C446" i="12"/>
  <c r="B446" i="12"/>
  <c r="A446" i="12"/>
  <c r="G445" i="12"/>
  <c r="F445" i="12"/>
  <c r="E445" i="12"/>
  <c r="D445" i="12"/>
  <c r="C445" i="12"/>
  <c r="B445" i="12"/>
  <c r="A445" i="12"/>
  <c r="G444" i="12"/>
  <c r="F444" i="12"/>
  <c r="E444" i="12"/>
  <c r="D444" i="12"/>
  <c r="C444" i="12"/>
  <c r="B444" i="12"/>
  <c r="A444" i="12"/>
  <c r="G443" i="12"/>
  <c r="F443" i="12"/>
  <c r="E443" i="12"/>
  <c r="D443" i="12"/>
  <c r="C443" i="12"/>
  <c r="B443" i="12"/>
  <c r="A443" i="12"/>
  <c r="G442" i="12"/>
  <c r="F442" i="12"/>
  <c r="E442" i="12"/>
  <c r="D442" i="12"/>
  <c r="C442" i="12"/>
  <c r="B442" i="12"/>
  <c r="A442" i="12"/>
  <c r="G441" i="12"/>
  <c r="F441" i="12"/>
  <c r="E441" i="12"/>
  <c r="D441" i="12"/>
  <c r="C441" i="12"/>
  <c r="B441" i="12"/>
  <c r="A441" i="12"/>
  <c r="G440" i="12"/>
  <c r="F440" i="12"/>
  <c r="E440" i="12"/>
  <c r="D440" i="12"/>
  <c r="C440" i="12"/>
  <c r="B440" i="12"/>
  <c r="A440" i="12"/>
  <c r="G439" i="12"/>
  <c r="F439" i="12"/>
  <c r="E439" i="12"/>
  <c r="D439" i="12"/>
  <c r="C439" i="12"/>
  <c r="B439" i="12"/>
  <c r="A439" i="12"/>
  <c r="G438" i="12"/>
  <c r="F438" i="12"/>
  <c r="E438" i="12"/>
  <c r="D438" i="12"/>
  <c r="C438" i="12"/>
  <c r="B438" i="12"/>
  <c r="A438" i="12"/>
  <c r="G437" i="12"/>
  <c r="F437" i="12"/>
  <c r="E437" i="12"/>
  <c r="D437" i="12"/>
  <c r="C437" i="12"/>
  <c r="B437" i="12"/>
  <c r="A437" i="12"/>
  <c r="G436" i="12"/>
  <c r="F436" i="12"/>
  <c r="E436" i="12"/>
  <c r="D436" i="12"/>
  <c r="C436" i="12"/>
  <c r="B436" i="12"/>
  <c r="A436" i="12"/>
  <c r="G435" i="12"/>
  <c r="F435" i="12"/>
  <c r="E435" i="12"/>
  <c r="D435" i="12"/>
  <c r="C435" i="12"/>
  <c r="B435" i="12"/>
  <c r="A435" i="12"/>
  <c r="G434" i="12"/>
  <c r="F434" i="12"/>
  <c r="E434" i="12"/>
  <c r="D434" i="12"/>
  <c r="C434" i="12"/>
  <c r="B434" i="12"/>
  <c r="A434" i="12"/>
  <c r="G433" i="12"/>
  <c r="F433" i="12"/>
  <c r="E433" i="12"/>
  <c r="D433" i="12"/>
  <c r="C433" i="12"/>
  <c r="B433" i="12"/>
  <c r="A433" i="12"/>
  <c r="G432" i="12"/>
  <c r="F432" i="12"/>
  <c r="E432" i="12"/>
  <c r="D432" i="12"/>
  <c r="C432" i="12"/>
  <c r="B432" i="12"/>
  <c r="A432" i="12"/>
  <c r="G431" i="12"/>
  <c r="F431" i="12"/>
  <c r="E431" i="12"/>
  <c r="D431" i="12"/>
  <c r="C431" i="12"/>
  <c r="B431" i="12"/>
  <c r="A431" i="12"/>
  <c r="G430" i="12"/>
  <c r="F430" i="12"/>
  <c r="E430" i="12"/>
  <c r="D430" i="12"/>
  <c r="C430" i="12"/>
  <c r="B430" i="12"/>
  <c r="A430" i="12"/>
  <c r="G429" i="12"/>
  <c r="F429" i="12"/>
  <c r="E429" i="12"/>
  <c r="D429" i="12"/>
  <c r="C429" i="12"/>
  <c r="B429" i="12"/>
  <c r="A429" i="12"/>
  <c r="G428" i="12"/>
  <c r="F428" i="12"/>
  <c r="E428" i="12"/>
  <c r="D428" i="12"/>
  <c r="C428" i="12"/>
  <c r="B428" i="12"/>
  <c r="A428" i="12"/>
  <c r="G427" i="12"/>
  <c r="F427" i="12"/>
  <c r="E427" i="12"/>
  <c r="D427" i="12"/>
  <c r="C427" i="12"/>
  <c r="B427" i="12"/>
  <c r="A427" i="12"/>
  <c r="G426" i="12"/>
  <c r="F426" i="12"/>
  <c r="E426" i="12"/>
  <c r="D426" i="12"/>
  <c r="C426" i="12"/>
  <c r="B426" i="12"/>
  <c r="A426" i="12"/>
  <c r="G425" i="12"/>
  <c r="F425" i="12"/>
  <c r="E425" i="12"/>
  <c r="D425" i="12"/>
  <c r="C425" i="12"/>
  <c r="B425" i="12"/>
  <c r="A425" i="12"/>
  <c r="G424" i="12"/>
  <c r="F424" i="12"/>
  <c r="E424" i="12"/>
  <c r="D424" i="12"/>
  <c r="C424" i="12"/>
  <c r="B424" i="12"/>
  <c r="A424" i="12"/>
  <c r="G423" i="12"/>
  <c r="F423" i="12"/>
  <c r="E423" i="12"/>
  <c r="D423" i="12"/>
  <c r="C423" i="12"/>
  <c r="B423" i="12"/>
  <c r="A423" i="12"/>
  <c r="G422" i="12"/>
  <c r="F422" i="12"/>
  <c r="E422" i="12"/>
  <c r="D422" i="12"/>
  <c r="C422" i="12"/>
  <c r="B422" i="12"/>
  <c r="A422" i="12"/>
  <c r="G421" i="12"/>
  <c r="F421" i="12"/>
  <c r="E421" i="12"/>
  <c r="D421" i="12"/>
  <c r="C421" i="12"/>
  <c r="B421" i="12"/>
  <c r="A421" i="12"/>
  <c r="G420" i="12"/>
  <c r="F420" i="12"/>
  <c r="E420" i="12"/>
  <c r="D420" i="12"/>
  <c r="C420" i="12"/>
  <c r="B420" i="12"/>
  <c r="A420" i="12"/>
  <c r="G419" i="12"/>
  <c r="F419" i="12"/>
  <c r="E419" i="12"/>
  <c r="D419" i="12"/>
  <c r="C419" i="12"/>
  <c r="B419" i="12"/>
  <c r="A419" i="12"/>
  <c r="G418" i="12"/>
  <c r="F418" i="12"/>
  <c r="E418" i="12"/>
  <c r="D418" i="12"/>
  <c r="C418" i="12"/>
  <c r="B418" i="12"/>
  <c r="A418" i="12"/>
  <c r="G417" i="12"/>
  <c r="F417" i="12"/>
  <c r="E417" i="12"/>
  <c r="D417" i="12"/>
  <c r="C417" i="12"/>
  <c r="B417" i="12"/>
  <c r="A417" i="12"/>
  <c r="G416" i="12"/>
  <c r="F416" i="12"/>
  <c r="E416" i="12"/>
  <c r="D416" i="12"/>
  <c r="C416" i="12"/>
  <c r="B416" i="12"/>
  <c r="A416" i="12"/>
  <c r="G415" i="12"/>
  <c r="F415" i="12"/>
  <c r="E415" i="12"/>
  <c r="D415" i="12"/>
  <c r="C415" i="12"/>
  <c r="B415" i="12"/>
  <c r="A415" i="12"/>
  <c r="G414" i="12"/>
  <c r="F414" i="12"/>
  <c r="E414" i="12"/>
  <c r="D414" i="12"/>
  <c r="C414" i="12"/>
  <c r="B414" i="12"/>
  <c r="A414" i="12"/>
  <c r="G413" i="12"/>
  <c r="F413" i="12"/>
  <c r="E413" i="12"/>
  <c r="D413" i="12"/>
  <c r="C413" i="12"/>
  <c r="B413" i="12"/>
  <c r="A413" i="12"/>
  <c r="G412" i="12"/>
  <c r="F412" i="12"/>
  <c r="E412" i="12"/>
  <c r="D412" i="12"/>
  <c r="C412" i="12"/>
  <c r="B412" i="12"/>
  <c r="A412" i="12"/>
  <c r="G411" i="12"/>
  <c r="F411" i="12"/>
  <c r="E411" i="12"/>
  <c r="D411" i="12"/>
  <c r="C411" i="12"/>
  <c r="B411" i="12"/>
  <c r="A411" i="12"/>
  <c r="G410" i="12"/>
  <c r="F410" i="12"/>
  <c r="E410" i="12"/>
  <c r="D410" i="12"/>
  <c r="C410" i="12"/>
  <c r="B410" i="12"/>
  <c r="A410" i="12"/>
  <c r="G409" i="12"/>
  <c r="F409" i="12"/>
  <c r="E409" i="12"/>
  <c r="D409" i="12"/>
  <c r="C409" i="12"/>
  <c r="B409" i="12"/>
  <c r="A409" i="12"/>
  <c r="G408" i="12"/>
  <c r="F408" i="12"/>
  <c r="E408" i="12"/>
  <c r="D408" i="12"/>
  <c r="C408" i="12"/>
  <c r="B408" i="12"/>
  <c r="A408" i="12"/>
  <c r="G407" i="12"/>
  <c r="F407" i="12"/>
  <c r="E407" i="12"/>
  <c r="D407" i="12"/>
  <c r="C407" i="12"/>
  <c r="B407" i="12"/>
  <c r="A407" i="12"/>
  <c r="G406" i="12"/>
  <c r="F406" i="12"/>
  <c r="E406" i="12"/>
  <c r="D406" i="12"/>
  <c r="C406" i="12"/>
  <c r="B406" i="12"/>
  <c r="A406" i="12"/>
  <c r="G405" i="12"/>
  <c r="F405" i="12"/>
  <c r="E405" i="12"/>
  <c r="D405" i="12"/>
  <c r="C405" i="12"/>
  <c r="B405" i="12"/>
  <c r="A405" i="12"/>
  <c r="G404" i="12"/>
  <c r="F404" i="12"/>
  <c r="E404" i="12"/>
  <c r="D404" i="12"/>
  <c r="C404" i="12"/>
  <c r="B404" i="12"/>
  <c r="A404" i="12"/>
  <c r="G403" i="12"/>
  <c r="F403" i="12"/>
  <c r="E403" i="12"/>
  <c r="D403" i="12"/>
  <c r="C403" i="12"/>
  <c r="B403" i="12"/>
  <c r="A403" i="12"/>
  <c r="G402" i="12"/>
  <c r="F402" i="12"/>
  <c r="E402" i="12"/>
  <c r="D402" i="12"/>
  <c r="C402" i="12"/>
  <c r="B402" i="12"/>
  <c r="A402" i="12"/>
  <c r="G401" i="12"/>
  <c r="F401" i="12"/>
  <c r="E401" i="12"/>
  <c r="D401" i="12"/>
  <c r="C401" i="12"/>
  <c r="B401" i="12"/>
  <c r="A401" i="12"/>
  <c r="G400" i="12"/>
  <c r="F400" i="12"/>
  <c r="E400" i="12"/>
  <c r="D400" i="12"/>
  <c r="C400" i="12"/>
  <c r="B400" i="12"/>
  <c r="A400" i="12"/>
  <c r="G399" i="12"/>
  <c r="F399" i="12"/>
  <c r="E399" i="12"/>
  <c r="D399" i="12"/>
  <c r="C399" i="12"/>
  <c r="B399" i="12"/>
  <c r="A399" i="12"/>
  <c r="G398" i="12"/>
  <c r="F398" i="12"/>
  <c r="E398" i="12"/>
  <c r="D398" i="12"/>
  <c r="C398" i="12"/>
  <c r="B398" i="12"/>
  <c r="A398" i="12"/>
  <c r="G397" i="12"/>
  <c r="F397" i="12"/>
  <c r="E397" i="12"/>
  <c r="D397" i="12"/>
  <c r="C397" i="12"/>
  <c r="B397" i="12"/>
  <c r="A397" i="12"/>
  <c r="G396" i="12"/>
  <c r="F396" i="12"/>
  <c r="E396" i="12"/>
  <c r="D396" i="12"/>
  <c r="C396" i="12"/>
  <c r="B396" i="12"/>
  <c r="A396" i="12"/>
  <c r="G395" i="12"/>
  <c r="F395" i="12"/>
  <c r="E395" i="12"/>
  <c r="D395" i="12"/>
  <c r="C395" i="12"/>
  <c r="B395" i="12"/>
  <c r="A395" i="12"/>
  <c r="G394" i="12"/>
  <c r="F394" i="12"/>
  <c r="E394" i="12"/>
  <c r="D394" i="12"/>
  <c r="C394" i="12"/>
  <c r="B394" i="12"/>
  <c r="A394" i="12"/>
  <c r="G393" i="12"/>
  <c r="F393" i="12"/>
  <c r="E393" i="12"/>
  <c r="D393" i="12"/>
  <c r="C393" i="12"/>
  <c r="B393" i="12"/>
  <c r="A393" i="12"/>
  <c r="G392" i="12"/>
  <c r="F392" i="12"/>
  <c r="E392" i="12"/>
  <c r="D392" i="12"/>
  <c r="C392" i="12"/>
  <c r="B392" i="12"/>
  <c r="A392" i="12"/>
  <c r="G391" i="12"/>
  <c r="F391" i="12"/>
  <c r="E391" i="12"/>
  <c r="D391" i="12"/>
  <c r="C391" i="12"/>
  <c r="B391" i="12"/>
  <c r="A391" i="12"/>
  <c r="G390" i="12"/>
  <c r="F390" i="12"/>
  <c r="E390" i="12"/>
  <c r="D390" i="12"/>
  <c r="C390" i="12"/>
  <c r="B390" i="12"/>
  <c r="A390" i="12"/>
  <c r="G389" i="12"/>
  <c r="F389" i="12"/>
  <c r="E389" i="12"/>
  <c r="D389" i="12"/>
  <c r="C389" i="12"/>
  <c r="B389" i="12"/>
  <c r="A389" i="12"/>
  <c r="G388" i="12"/>
  <c r="F388" i="12"/>
  <c r="E388" i="12"/>
  <c r="D388" i="12"/>
  <c r="C388" i="12"/>
  <c r="B388" i="12"/>
  <c r="A388" i="12"/>
  <c r="G387" i="12"/>
  <c r="F387" i="12"/>
  <c r="E387" i="12"/>
  <c r="D387" i="12"/>
  <c r="C387" i="12"/>
  <c r="B387" i="12"/>
  <c r="A387" i="12"/>
  <c r="G386" i="12"/>
  <c r="F386" i="12"/>
  <c r="E386" i="12"/>
  <c r="D386" i="12"/>
  <c r="C386" i="12"/>
  <c r="B386" i="12"/>
  <c r="A386" i="12"/>
  <c r="G385" i="12"/>
  <c r="F385" i="12"/>
  <c r="E385" i="12"/>
  <c r="D385" i="12"/>
  <c r="C385" i="12"/>
  <c r="B385" i="12"/>
  <c r="A385" i="12"/>
  <c r="G384" i="12"/>
  <c r="F384" i="12"/>
  <c r="E384" i="12"/>
  <c r="D384" i="12"/>
  <c r="C384" i="12"/>
  <c r="B384" i="12"/>
  <c r="A384" i="12"/>
  <c r="G383" i="12"/>
  <c r="F383" i="12"/>
  <c r="E383" i="12"/>
  <c r="D383" i="12"/>
  <c r="C383" i="12"/>
  <c r="B383" i="12"/>
  <c r="A383" i="12"/>
  <c r="G382" i="12"/>
  <c r="F382" i="12"/>
  <c r="E382" i="12"/>
  <c r="D382" i="12"/>
  <c r="C382" i="12"/>
  <c r="B382" i="12"/>
  <c r="A382" i="12"/>
  <c r="G381" i="12"/>
  <c r="F381" i="12"/>
  <c r="E381" i="12"/>
  <c r="D381" i="12"/>
  <c r="C381" i="12"/>
  <c r="B381" i="12"/>
  <c r="A381" i="12"/>
  <c r="G380" i="12"/>
  <c r="F380" i="12"/>
  <c r="E380" i="12"/>
  <c r="D380" i="12"/>
  <c r="C380" i="12"/>
  <c r="B380" i="12"/>
  <c r="A380" i="12"/>
  <c r="G379" i="12"/>
  <c r="F379" i="12"/>
  <c r="E379" i="12"/>
  <c r="D379" i="12"/>
  <c r="C379" i="12"/>
  <c r="B379" i="12"/>
  <c r="A379" i="12"/>
  <c r="G378" i="12"/>
  <c r="F378" i="12"/>
  <c r="E378" i="12"/>
  <c r="D378" i="12"/>
  <c r="C378" i="12"/>
  <c r="B378" i="12"/>
  <c r="A378" i="12"/>
  <c r="G377" i="12"/>
  <c r="F377" i="12"/>
  <c r="E377" i="12"/>
  <c r="D377" i="12"/>
  <c r="C377" i="12"/>
  <c r="B377" i="12"/>
  <c r="A377" i="12"/>
  <c r="G376" i="12"/>
  <c r="F376" i="12"/>
  <c r="E376" i="12"/>
  <c r="D376" i="12"/>
  <c r="C376" i="12"/>
  <c r="B376" i="12"/>
  <c r="A376" i="12"/>
  <c r="G375" i="12"/>
  <c r="F375" i="12"/>
  <c r="E375" i="12"/>
  <c r="D375" i="12"/>
  <c r="C375" i="12"/>
  <c r="B375" i="12"/>
  <c r="A375" i="12"/>
  <c r="G374" i="12"/>
  <c r="F374" i="12"/>
  <c r="E374" i="12"/>
  <c r="D374" i="12"/>
  <c r="C374" i="12"/>
  <c r="B374" i="12"/>
  <c r="A374" i="12"/>
  <c r="G373" i="12"/>
  <c r="F373" i="12"/>
  <c r="E373" i="12"/>
  <c r="D373" i="12"/>
  <c r="C373" i="12"/>
  <c r="B373" i="12"/>
  <c r="A373" i="12"/>
  <c r="G372" i="12"/>
  <c r="F372" i="12"/>
  <c r="E372" i="12"/>
  <c r="D372" i="12"/>
  <c r="C372" i="12"/>
  <c r="B372" i="12"/>
  <c r="A372" i="12"/>
  <c r="G371" i="12"/>
  <c r="F371" i="12"/>
  <c r="E371" i="12"/>
  <c r="D371" i="12"/>
  <c r="C371" i="12"/>
  <c r="B371" i="12"/>
  <c r="A371" i="12"/>
  <c r="G370" i="12"/>
  <c r="F370" i="12"/>
  <c r="E370" i="12"/>
  <c r="D370" i="12"/>
  <c r="C370" i="12"/>
  <c r="B370" i="12"/>
  <c r="A370" i="12"/>
  <c r="G369" i="12"/>
  <c r="F369" i="12"/>
  <c r="E369" i="12"/>
  <c r="D369" i="12"/>
  <c r="C369" i="12"/>
  <c r="B369" i="12"/>
  <c r="A369" i="12"/>
  <c r="G368" i="12"/>
  <c r="F368" i="12"/>
  <c r="E368" i="12"/>
  <c r="D368" i="12"/>
  <c r="C368" i="12"/>
  <c r="B368" i="12"/>
  <c r="A368" i="12"/>
  <c r="G367" i="12"/>
  <c r="F367" i="12"/>
  <c r="E367" i="12"/>
  <c r="D367" i="12"/>
  <c r="C367" i="12"/>
  <c r="B367" i="12"/>
  <c r="A367" i="12"/>
  <c r="G366" i="12"/>
  <c r="F366" i="12"/>
  <c r="E366" i="12"/>
  <c r="D366" i="12"/>
  <c r="C366" i="12"/>
  <c r="B366" i="12"/>
  <c r="A366" i="12"/>
  <c r="G365" i="12"/>
  <c r="F365" i="12"/>
  <c r="E365" i="12"/>
  <c r="D365" i="12"/>
  <c r="C365" i="12"/>
  <c r="B365" i="12"/>
  <c r="A365" i="12"/>
  <c r="G364" i="12"/>
  <c r="F364" i="12"/>
  <c r="E364" i="12"/>
  <c r="D364" i="12"/>
  <c r="C364" i="12"/>
  <c r="B364" i="12"/>
  <c r="A364" i="12"/>
  <c r="G363" i="12"/>
  <c r="F363" i="12"/>
  <c r="E363" i="12"/>
  <c r="D363" i="12"/>
  <c r="C363" i="12"/>
  <c r="B363" i="12"/>
  <c r="A363" i="12"/>
  <c r="G362" i="12"/>
  <c r="F362" i="12"/>
  <c r="E362" i="12"/>
  <c r="D362" i="12"/>
  <c r="C362" i="12"/>
  <c r="B362" i="12"/>
  <c r="A362" i="12"/>
  <c r="G361" i="12"/>
  <c r="F361" i="12"/>
  <c r="E361" i="12"/>
  <c r="D361" i="12"/>
  <c r="C361" i="12"/>
  <c r="B361" i="12"/>
  <c r="A361" i="12"/>
  <c r="G360" i="12"/>
  <c r="F360" i="12"/>
  <c r="E360" i="12"/>
  <c r="D360" i="12"/>
  <c r="C360" i="12"/>
  <c r="B360" i="12"/>
  <c r="A360" i="12"/>
  <c r="G359" i="12"/>
  <c r="F359" i="12"/>
  <c r="E359" i="12"/>
  <c r="D359" i="12"/>
  <c r="C359" i="12"/>
  <c r="B359" i="12"/>
  <c r="A359" i="12"/>
  <c r="G358" i="12"/>
  <c r="F358" i="12"/>
  <c r="E358" i="12"/>
  <c r="D358" i="12"/>
  <c r="C358" i="12"/>
  <c r="B358" i="12"/>
  <c r="A358" i="12"/>
  <c r="G357" i="12"/>
  <c r="F357" i="12"/>
  <c r="E357" i="12"/>
  <c r="D357" i="12"/>
  <c r="C357" i="12"/>
  <c r="B357" i="12"/>
  <c r="A357" i="12"/>
  <c r="G356" i="12"/>
  <c r="F356" i="12"/>
  <c r="E356" i="12"/>
  <c r="D356" i="12"/>
  <c r="C356" i="12"/>
  <c r="B356" i="12"/>
  <c r="A356" i="12"/>
  <c r="G355" i="12"/>
  <c r="F355" i="12"/>
  <c r="E355" i="12"/>
  <c r="D355" i="12"/>
  <c r="C355" i="12"/>
  <c r="B355" i="12"/>
  <c r="A355" i="12"/>
  <c r="G354" i="12"/>
  <c r="F354" i="12"/>
  <c r="E354" i="12"/>
  <c r="D354" i="12"/>
  <c r="C354" i="12"/>
  <c r="B354" i="12"/>
  <c r="A354" i="12"/>
  <c r="G353" i="12"/>
  <c r="F353" i="12"/>
  <c r="E353" i="12"/>
  <c r="D353" i="12"/>
  <c r="C353" i="12"/>
  <c r="B353" i="12"/>
  <c r="A353" i="12"/>
  <c r="G352" i="12"/>
  <c r="F352" i="12"/>
  <c r="E352" i="12"/>
  <c r="D352" i="12"/>
  <c r="C352" i="12"/>
  <c r="B352" i="12"/>
  <c r="A352" i="12"/>
  <c r="G351" i="12"/>
  <c r="F351" i="12"/>
  <c r="E351" i="12"/>
  <c r="D351" i="12"/>
  <c r="C351" i="12"/>
  <c r="B351" i="12"/>
  <c r="A351" i="12"/>
  <c r="G350" i="12"/>
  <c r="F350" i="12"/>
  <c r="E350" i="12"/>
  <c r="D350" i="12"/>
  <c r="C350" i="12"/>
  <c r="B350" i="12"/>
  <c r="A350" i="12"/>
  <c r="G349" i="12"/>
  <c r="F349" i="12"/>
  <c r="E349" i="12"/>
  <c r="D349" i="12"/>
  <c r="C349" i="12"/>
  <c r="B349" i="12"/>
  <c r="A349" i="12"/>
  <c r="G348" i="12"/>
  <c r="F348" i="12"/>
  <c r="E348" i="12"/>
  <c r="D348" i="12"/>
  <c r="C348" i="12"/>
  <c r="B348" i="12"/>
  <c r="A348" i="12"/>
  <c r="G347" i="12"/>
  <c r="F347" i="12"/>
  <c r="E347" i="12"/>
  <c r="D347" i="12"/>
  <c r="C347" i="12"/>
  <c r="B347" i="12"/>
  <c r="A347" i="12"/>
  <c r="G346" i="12"/>
  <c r="F346" i="12"/>
  <c r="E346" i="12"/>
  <c r="D346" i="12"/>
  <c r="C346" i="12"/>
  <c r="B346" i="12"/>
  <c r="A346" i="12"/>
  <c r="G345" i="12"/>
  <c r="F345" i="12"/>
  <c r="E345" i="12"/>
  <c r="D345" i="12"/>
  <c r="C345" i="12"/>
  <c r="B345" i="12"/>
  <c r="A345" i="12"/>
  <c r="G344" i="12"/>
  <c r="F344" i="12"/>
  <c r="E344" i="12"/>
  <c r="D344" i="12"/>
  <c r="C344" i="12"/>
  <c r="B344" i="12"/>
  <c r="A344" i="12"/>
  <c r="G343" i="12"/>
  <c r="F343" i="12"/>
  <c r="E343" i="12"/>
  <c r="D343" i="12"/>
  <c r="C343" i="12"/>
  <c r="B343" i="12"/>
  <c r="A343" i="12"/>
  <c r="G342" i="12"/>
  <c r="F342" i="12"/>
  <c r="E342" i="12"/>
  <c r="D342" i="12"/>
  <c r="C342" i="12"/>
  <c r="B342" i="12"/>
  <c r="A342" i="12"/>
  <c r="G341" i="12"/>
  <c r="F341" i="12"/>
  <c r="E341" i="12"/>
  <c r="D341" i="12"/>
  <c r="C341" i="12"/>
  <c r="B341" i="12"/>
  <c r="A341" i="12"/>
  <c r="G340" i="12"/>
  <c r="F340" i="12"/>
  <c r="E340" i="12"/>
  <c r="D340" i="12"/>
  <c r="C340" i="12"/>
  <c r="B340" i="12"/>
  <c r="A340" i="12"/>
  <c r="G339" i="12"/>
  <c r="F339" i="12"/>
  <c r="E339" i="12"/>
  <c r="D339" i="12"/>
  <c r="C339" i="12"/>
  <c r="B339" i="12"/>
  <c r="A339" i="12"/>
  <c r="G338" i="12"/>
  <c r="F338" i="12"/>
  <c r="E338" i="12"/>
  <c r="D338" i="12"/>
  <c r="C338" i="12"/>
  <c r="B338" i="12"/>
  <c r="A338" i="12"/>
  <c r="G337" i="12"/>
  <c r="F337" i="12"/>
  <c r="E337" i="12"/>
  <c r="D337" i="12"/>
  <c r="C337" i="12"/>
  <c r="B337" i="12"/>
  <c r="A337" i="12"/>
  <c r="G336" i="12"/>
  <c r="F336" i="12"/>
  <c r="E336" i="12"/>
  <c r="D336" i="12"/>
  <c r="C336" i="12"/>
  <c r="B336" i="12"/>
  <c r="A336" i="12"/>
  <c r="G335" i="12"/>
  <c r="F335" i="12"/>
  <c r="E335" i="12"/>
  <c r="D335" i="12"/>
  <c r="C335" i="12"/>
  <c r="B335" i="12"/>
  <c r="A335" i="12"/>
  <c r="G334" i="12"/>
  <c r="F334" i="12"/>
  <c r="E334" i="12"/>
  <c r="D334" i="12"/>
  <c r="C334" i="12"/>
  <c r="B334" i="12"/>
  <c r="A334" i="12"/>
  <c r="G333" i="12"/>
  <c r="F333" i="12"/>
  <c r="E333" i="12"/>
  <c r="D333" i="12"/>
  <c r="C333" i="12"/>
  <c r="B333" i="12"/>
  <c r="A333" i="12"/>
  <c r="G332" i="12"/>
  <c r="F332" i="12"/>
  <c r="E332" i="12"/>
  <c r="D332" i="12"/>
  <c r="C332" i="12"/>
  <c r="B332" i="12"/>
  <c r="A332" i="12"/>
  <c r="G331" i="12"/>
  <c r="F331" i="12"/>
  <c r="E331" i="12"/>
  <c r="D331" i="12"/>
  <c r="C331" i="12"/>
  <c r="B331" i="12"/>
  <c r="A331" i="12"/>
  <c r="G330" i="12"/>
  <c r="F330" i="12"/>
  <c r="E330" i="12"/>
  <c r="D330" i="12"/>
  <c r="C330" i="12"/>
  <c r="B330" i="12"/>
  <c r="A330" i="12"/>
  <c r="G329" i="12"/>
  <c r="F329" i="12"/>
  <c r="E329" i="12"/>
  <c r="D329" i="12"/>
  <c r="C329" i="12"/>
  <c r="B329" i="12"/>
  <c r="A329" i="12"/>
  <c r="G328" i="12"/>
  <c r="F328" i="12"/>
  <c r="E328" i="12"/>
  <c r="D328" i="12"/>
  <c r="C328" i="12"/>
  <c r="B328" i="12"/>
  <c r="A328" i="12"/>
  <c r="G327" i="12"/>
  <c r="F327" i="12"/>
  <c r="E327" i="12"/>
  <c r="D327" i="12"/>
  <c r="C327" i="12"/>
  <c r="B327" i="12"/>
  <c r="A327" i="12"/>
  <c r="G326" i="12"/>
  <c r="F326" i="12"/>
  <c r="E326" i="12"/>
  <c r="D326" i="12"/>
  <c r="C326" i="12"/>
  <c r="B326" i="12"/>
  <c r="A326" i="12"/>
  <c r="G325" i="12"/>
  <c r="F325" i="12"/>
  <c r="E325" i="12"/>
  <c r="D325" i="12"/>
  <c r="C325" i="12"/>
  <c r="B325" i="12"/>
  <c r="A325" i="12"/>
  <c r="G324" i="12"/>
  <c r="F324" i="12"/>
  <c r="E324" i="12"/>
  <c r="D324" i="12"/>
  <c r="C324" i="12"/>
  <c r="B324" i="12"/>
  <c r="A324" i="12"/>
  <c r="G323" i="12"/>
  <c r="F323" i="12"/>
  <c r="E323" i="12"/>
  <c r="D323" i="12"/>
  <c r="C323" i="12"/>
  <c r="B323" i="12"/>
  <c r="A323" i="12"/>
  <c r="G322" i="12"/>
  <c r="F322" i="12"/>
  <c r="E322" i="12"/>
  <c r="D322" i="12"/>
  <c r="C322" i="12"/>
  <c r="B322" i="12"/>
  <c r="A322" i="12"/>
  <c r="G321" i="12"/>
  <c r="F321" i="12"/>
  <c r="E321" i="12"/>
  <c r="D321" i="12"/>
  <c r="C321" i="12"/>
  <c r="B321" i="12"/>
  <c r="A321" i="12"/>
  <c r="G320" i="12"/>
  <c r="F320" i="12"/>
  <c r="E320" i="12"/>
  <c r="D320" i="12"/>
  <c r="C320" i="12"/>
  <c r="B320" i="12"/>
  <c r="A320" i="12"/>
  <c r="G319" i="12"/>
  <c r="F319" i="12"/>
  <c r="E319" i="12"/>
  <c r="D319" i="12"/>
  <c r="C319" i="12"/>
  <c r="B319" i="12"/>
  <c r="A319" i="12"/>
  <c r="G318" i="12"/>
  <c r="F318" i="12"/>
  <c r="E318" i="12"/>
  <c r="D318" i="12"/>
  <c r="C318" i="12"/>
  <c r="B318" i="12"/>
  <c r="A318" i="12"/>
  <c r="G317" i="12"/>
  <c r="F317" i="12"/>
  <c r="E317" i="12"/>
  <c r="D317" i="12"/>
  <c r="C317" i="12"/>
  <c r="B317" i="12"/>
  <c r="A317" i="12"/>
  <c r="G316" i="12"/>
  <c r="F316" i="12"/>
  <c r="E316" i="12"/>
  <c r="D316" i="12"/>
  <c r="C316" i="12"/>
  <c r="B316" i="12"/>
  <c r="A316" i="12"/>
  <c r="G315" i="12"/>
  <c r="F315" i="12"/>
  <c r="E315" i="12"/>
  <c r="D315" i="12"/>
  <c r="C315" i="12"/>
  <c r="B315" i="12"/>
  <c r="A315" i="12"/>
  <c r="G314" i="12"/>
  <c r="F314" i="12"/>
  <c r="E314" i="12"/>
  <c r="D314" i="12"/>
  <c r="C314" i="12"/>
  <c r="B314" i="12"/>
  <c r="A314" i="12"/>
  <c r="G313" i="12"/>
  <c r="F313" i="12"/>
  <c r="E313" i="12"/>
  <c r="D313" i="12"/>
  <c r="C313" i="12"/>
  <c r="B313" i="12"/>
  <c r="A313" i="12"/>
  <c r="G312" i="12"/>
  <c r="F312" i="12"/>
  <c r="E312" i="12"/>
  <c r="D312" i="12"/>
  <c r="C312" i="12"/>
  <c r="B312" i="12"/>
  <c r="A312" i="12"/>
  <c r="G311" i="12"/>
  <c r="F311" i="12"/>
  <c r="E311" i="12"/>
  <c r="D311" i="12"/>
  <c r="C311" i="12"/>
  <c r="B311" i="12"/>
  <c r="A311" i="12"/>
  <c r="G310" i="12"/>
  <c r="F310" i="12"/>
  <c r="E310" i="12"/>
  <c r="D310" i="12"/>
  <c r="C310" i="12"/>
  <c r="B310" i="12"/>
  <c r="A310" i="12"/>
  <c r="G309" i="12"/>
  <c r="F309" i="12"/>
  <c r="E309" i="12"/>
  <c r="D309" i="12"/>
  <c r="C309" i="12"/>
  <c r="B309" i="12"/>
  <c r="A309" i="12"/>
  <c r="G308" i="12"/>
  <c r="F308" i="12"/>
  <c r="E308" i="12"/>
  <c r="D308" i="12"/>
  <c r="C308" i="12"/>
  <c r="B308" i="12"/>
  <c r="A308" i="12"/>
  <c r="G307" i="12"/>
  <c r="F307" i="12"/>
  <c r="E307" i="12"/>
  <c r="D307" i="12"/>
  <c r="C307" i="12"/>
  <c r="B307" i="12"/>
  <c r="A307" i="12"/>
  <c r="G306" i="12"/>
  <c r="F306" i="12"/>
  <c r="E306" i="12"/>
  <c r="D306" i="12"/>
  <c r="C306" i="12"/>
  <c r="B306" i="12"/>
  <c r="A306" i="12"/>
  <c r="G305" i="12"/>
  <c r="F305" i="12"/>
  <c r="E305" i="12"/>
  <c r="D305" i="12"/>
  <c r="C305" i="12"/>
  <c r="B305" i="12"/>
  <c r="A305" i="12"/>
  <c r="G304" i="12"/>
  <c r="F304" i="12"/>
  <c r="E304" i="12"/>
  <c r="D304" i="12"/>
  <c r="C304" i="12"/>
  <c r="B304" i="12"/>
  <c r="A304" i="12"/>
  <c r="G303" i="12"/>
  <c r="F303" i="12"/>
  <c r="E303" i="12"/>
  <c r="D303" i="12"/>
  <c r="C303" i="12"/>
  <c r="B303" i="12"/>
  <c r="A303" i="12"/>
  <c r="G302" i="12"/>
  <c r="F302" i="12"/>
  <c r="E302" i="12"/>
  <c r="D302" i="12"/>
  <c r="C302" i="12"/>
  <c r="B302" i="12"/>
  <c r="A302" i="12"/>
  <c r="G301" i="12"/>
  <c r="F301" i="12"/>
  <c r="E301" i="12"/>
  <c r="D301" i="12"/>
  <c r="C301" i="12"/>
  <c r="B301" i="12"/>
  <c r="A301" i="12"/>
  <c r="G300" i="12"/>
  <c r="F300" i="12"/>
  <c r="E300" i="12"/>
  <c r="D300" i="12"/>
  <c r="C300" i="12"/>
  <c r="B300" i="12"/>
  <c r="A300" i="12"/>
  <c r="G299" i="12"/>
  <c r="F299" i="12"/>
  <c r="E299" i="12"/>
  <c r="D299" i="12"/>
  <c r="C299" i="12"/>
  <c r="B299" i="12"/>
  <c r="A299" i="12"/>
  <c r="G298" i="12"/>
  <c r="F298" i="12"/>
  <c r="E298" i="12"/>
  <c r="D298" i="12"/>
  <c r="C298" i="12"/>
  <c r="B298" i="12"/>
  <c r="A298" i="12"/>
  <c r="G297" i="12"/>
  <c r="F297" i="12"/>
  <c r="E297" i="12"/>
  <c r="D297" i="12"/>
  <c r="C297" i="12"/>
  <c r="B297" i="12"/>
  <c r="A297" i="12"/>
  <c r="G296" i="12"/>
  <c r="F296" i="12"/>
  <c r="E296" i="12"/>
  <c r="D296" i="12"/>
  <c r="C296" i="12"/>
  <c r="B296" i="12"/>
  <c r="A296" i="12"/>
  <c r="G295" i="12"/>
  <c r="F295" i="12"/>
  <c r="E295" i="12"/>
  <c r="D295" i="12"/>
  <c r="C295" i="12"/>
  <c r="B295" i="12"/>
  <c r="A295" i="12"/>
  <c r="G294" i="12"/>
  <c r="F294" i="12"/>
  <c r="E294" i="12"/>
  <c r="D294" i="12"/>
  <c r="C294" i="12"/>
  <c r="B294" i="12"/>
  <c r="A294" i="12"/>
  <c r="G293" i="12"/>
  <c r="F293" i="12"/>
  <c r="E293" i="12"/>
  <c r="D293" i="12"/>
  <c r="C293" i="12"/>
  <c r="B293" i="12"/>
  <c r="A293" i="12"/>
  <c r="G292" i="12"/>
  <c r="F292" i="12"/>
  <c r="E292" i="12"/>
  <c r="D292" i="12"/>
  <c r="C292" i="12"/>
  <c r="B292" i="12"/>
  <c r="A292" i="12"/>
  <c r="G291" i="12"/>
  <c r="F291" i="12"/>
  <c r="E291" i="12"/>
  <c r="D291" i="12"/>
  <c r="C291" i="12"/>
  <c r="B291" i="12"/>
  <c r="A291" i="12"/>
  <c r="G290" i="12"/>
  <c r="F290" i="12"/>
  <c r="E290" i="12"/>
  <c r="D290" i="12"/>
  <c r="C290" i="12"/>
  <c r="B290" i="12"/>
  <c r="A290" i="12"/>
  <c r="G289" i="12"/>
  <c r="F289" i="12"/>
  <c r="E289" i="12"/>
  <c r="D289" i="12"/>
  <c r="C289" i="12"/>
  <c r="B289" i="12"/>
  <c r="A289" i="12"/>
  <c r="G288" i="12"/>
  <c r="F288" i="12"/>
  <c r="E288" i="12"/>
  <c r="D288" i="12"/>
  <c r="C288" i="12"/>
  <c r="B288" i="12"/>
  <c r="A288" i="12"/>
  <c r="G287" i="12"/>
  <c r="F287" i="12"/>
  <c r="E287" i="12"/>
  <c r="D287" i="12"/>
  <c r="C287" i="12"/>
  <c r="B287" i="12"/>
  <c r="A287" i="12"/>
  <c r="G286" i="12"/>
  <c r="F286" i="12"/>
  <c r="E286" i="12"/>
  <c r="D286" i="12"/>
  <c r="C286" i="12"/>
  <c r="B286" i="12"/>
  <c r="A286" i="12"/>
  <c r="G285" i="12"/>
  <c r="F285" i="12"/>
  <c r="E285" i="12"/>
  <c r="D285" i="12"/>
  <c r="C285" i="12"/>
  <c r="B285" i="12"/>
  <c r="A285" i="12"/>
  <c r="G284" i="12"/>
  <c r="F284" i="12"/>
  <c r="E284" i="12"/>
  <c r="D284" i="12"/>
  <c r="C284" i="12"/>
  <c r="B284" i="12"/>
  <c r="A284" i="12"/>
  <c r="G283" i="12"/>
  <c r="F283" i="12"/>
  <c r="E283" i="12"/>
  <c r="D283" i="12"/>
  <c r="C283" i="12"/>
  <c r="B283" i="12"/>
  <c r="A283" i="12"/>
  <c r="G282" i="12"/>
  <c r="F282" i="12"/>
  <c r="E282" i="12"/>
  <c r="D282" i="12"/>
  <c r="C282" i="12"/>
  <c r="B282" i="12"/>
  <c r="A282" i="12"/>
  <c r="G281" i="12"/>
  <c r="F281" i="12"/>
  <c r="E281" i="12"/>
  <c r="D281" i="12"/>
  <c r="C281" i="12"/>
  <c r="B281" i="12"/>
  <c r="A281" i="12"/>
  <c r="G280" i="12"/>
  <c r="F280" i="12"/>
  <c r="E280" i="12"/>
  <c r="D280" i="12"/>
  <c r="C280" i="12"/>
  <c r="B280" i="12"/>
  <c r="A280" i="12"/>
  <c r="G279" i="12"/>
  <c r="F279" i="12"/>
  <c r="E279" i="12"/>
  <c r="D279" i="12"/>
  <c r="C279" i="12"/>
  <c r="B279" i="12"/>
  <c r="A279" i="12"/>
  <c r="G278" i="12"/>
  <c r="F278" i="12"/>
  <c r="E278" i="12"/>
  <c r="D278" i="12"/>
  <c r="C278" i="12"/>
  <c r="B278" i="12"/>
  <c r="A278" i="12"/>
  <c r="G277" i="12"/>
  <c r="F277" i="12"/>
  <c r="E277" i="12"/>
  <c r="D277" i="12"/>
  <c r="C277" i="12"/>
  <c r="B277" i="12"/>
  <c r="A277" i="12"/>
  <c r="G276" i="12"/>
  <c r="F276" i="12"/>
  <c r="E276" i="12"/>
  <c r="D276" i="12"/>
  <c r="C276" i="12"/>
  <c r="B276" i="12"/>
  <c r="A276" i="12"/>
  <c r="G275" i="12"/>
  <c r="F275" i="12"/>
  <c r="E275" i="12"/>
  <c r="D275" i="12"/>
  <c r="C275" i="12"/>
  <c r="B275" i="12"/>
  <c r="A275" i="12"/>
  <c r="G274" i="12"/>
  <c r="F274" i="12"/>
  <c r="E274" i="12"/>
  <c r="D274" i="12"/>
  <c r="C274" i="12"/>
  <c r="B274" i="12"/>
  <c r="A274" i="12"/>
  <c r="G273" i="12"/>
  <c r="F273" i="12"/>
  <c r="E273" i="12"/>
  <c r="D273" i="12"/>
  <c r="C273" i="12"/>
  <c r="B273" i="12"/>
  <c r="A273" i="12"/>
  <c r="G272" i="12"/>
  <c r="F272" i="12"/>
  <c r="E272" i="12"/>
  <c r="D272" i="12"/>
  <c r="C272" i="12"/>
  <c r="B272" i="12"/>
  <c r="A272" i="12"/>
  <c r="G271" i="12"/>
  <c r="F271" i="12"/>
  <c r="E271" i="12"/>
  <c r="D271" i="12"/>
  <c r="C271" i="12"/>
  <c r="B271" i="12"/>
  <c r="A271" i="12"/>
  <c r="G270" i="12"/>
  <c r="F270" i="12"/>
  <c r="E270" i="12"/>
  <c r="D270" i="12"/>
  <c r="C270" i="12"/>
  <c r="B270" i="12"/>
  <c r="A270" i="12"/>
  <c r="G269" i="12"/>
  <c r="F269" i="12"/>
  <c r="E269" i="12"/>
  <c r="D269" i="12"/>
  <c r="C269" i="12"/>
  <c r="B269" i="12"/>
  <c r="A269" i="12"/>
  <c r="G268" i="12"/>
  <c r="F268" i="12"/>
  <c r="E268" i="12"/>
  <c r="D268" i="12"/>
  <c r="C268" i="12"/>
  <c r="B268" i="12"/>
  <c r="A268" i="12"/>
  <c r="G267" i="12"/>
  <c r="F267" i="12"/>
  <c r="E267" i="12"/>
  <c r="D267" i="12"/>
  <c r="C267" i="12"/>
  <c r="B267" i="12"/>
  <c r="A267" i="12"/>
  <c r="G266" i="12"/>
  <c r="F266" i="12"/>
  <c r="E266" i="12"/>
  <c r="D266" i="12"/>
  <c r="C266" i="12"/>
  <c r="B266" i="12"/>
  <c r="A266" i="12"/>
  <c r="G265" i="12"/>
  <c r="F265" i="12"/>
  <c r="E265" i="12"/>
  <c r="D265" i="12"/>
  <c r="C265" i="12"/>
  <c r="B265" i="12"/>
  <c r="A265" i="12"/>
  <c r="G264" i="12"/>
  <c r="F264" i="12"/>
  <c r="E264" i="12"/>
  <c r="D264" i="12"/>
  <c r="C264" i="12"/>
  <c r="B264" i="12"/>
  <c r="A264" i="12"/>
  <c r="G263" i="12"/>
  <c r="F263" i="12"/>
  <c r="E263" i="12"/>
  <c r="D263" i="12"/>
  <c r="C263" i="12"/>
  <c r="B263" i="12"/>
  <c r="A263" i="12"/>
  <c r="G262" i="12"/>
  <c r="F262" i="12"/>
  <c r="E262" i="12"/>
  <c r="D262" i="12"/>
  <c r="C262" i="12"/>
  <c r="B262" i="12"/>
  <c r="A262" i="12"/>
  <c r="G261" i="12"/>
  <c r="F261" i="12"/>
  <c r="E261" i="12"/>
  <c r="D261" i="12"/>
  <c r="C261" i="12"/>
  <c r="B261" i="12"/>
  <c r="A261" i="12"/>
  <c r="G260" i="12"/>
  <c r="F260" i="12"/>
  <c r="E260" i="12"/>
  <c r="D260" i="12"/>
  <c r="C260" i="12"/>
  <c r="B260" i="12"/>
  <c r="A260" i="12"/>
  <c r="G259" i="12"/>
  <c r="F259" i="12"/>
  <c r="E259" i="12"/>
  <c r="D259" i="12"/>
  <c r="C259" i="12"/>
  <c r="B259" i="12"/>
  <c r="A259" i="12"/>
  <c r="G258" i="12"/>
  <c r="F258" i="12"/>
  <c r="E258" i="12"/>
  <c r="D258" i="12"/>
  <c r="C258" i="12"/>
  <c r="B258" i="12"/>
  <c r="A258" i="12"/>
  <c r="G257" i="12"/>
  <c r="F257" i="12"/>
  <c r="E257" i="12"/>
  <c r="D257" i="12"/>
  <c r="C257" i="12"/>
  <c r="B257" i="12"/>
  <c r="A257" i="12"/>
  <c r="G256" i="12"/>
  <c r="F256" i="12"/>
  <c r="E256" i="12"/>
  <c r="D256" i="12"/>
  <c r="C256" i="12"/>
  <c r="B256" i="12"/>
  <c r="A256" i="12"/>
  <c r="G255" i="12"/>
  <c r="F255" i="12"/>
  <c r="E255" i="12"/>
  <c r="D255" i="12"/>
  <c r="C255" i="12"/>
  <c r="B255" i="12"/>
  <c r="A255" i="12"/>
  <c r="G254" i="12"/>
  <c r="F254" i="12"/>
  <c r="E254" i="12"/>
  <c r="D254" i="12"/>
  <c r="C254" i="12"/>
  <c r="B254" i="12"/>
  <c r="A254" i="12"/>
  <c r="G253" i="12"/>
  <c r="F253" i="12"/>
  <c r="E253" i="12"/>
  <c r="D253" i="12"/>
  <c r="C253" i="12"/>
  <c r="B253" i="12"/>
  <c r="A253" i="12"/>
  <c r="G252" i="12"/>
  <c r="F252" i="12"/>
  <c r="E252" i="12"/>
  <c r="D252" i="12"/>
  <c r="C252" i="12"/>
  <c r="B252" i="12"/>
  <c r="A252" i="12"/>
  <c r="G251" i="12"/>
  <c r="F251" i="12"/>
  <c r="E251" i="12"/>
  <c r="D251" i="12"/>
  <c r="C251" i="12"/>
  <c r="B251" i="12"/>
  <c r="A251" i="12"/>
  <c r="G250" i="12"/>
  <c r="F250" i="12"/>
  <c r="E250" i="12"/>
  <c r="D250" i="12"/>
  <c r="C250" i="12"/>
  <c r="B250" i="12"/>
  <c r="A250" i="12"/>
  <c r="G249" i="12"/>
  <c r="F249" i="12"/>
  <c r="E249" i="12"/>
  <c r="D249" i="12"/>
  <c r="C249" i="12"/>
  <c r="B249" i="12"/>
  <c r="A249" i="12"/>
  <c r="G248" i="12"/>
  <c r="F248" i="12"/>
  <c r="E248" i="12"/>
  <c r="D248" i="12"/>
  <c r="C248" i="12"/>
  <c r="B248" i="12"/>
  <c r="A248" i="12"/>
  <c r="G247" i="12"/>
  <c r="F247" i="12"/>
  <c r="E247" i="12"/>
  <c r="D247" i="12"/>
  <c r="C247" i="12"/>
  <c r="B247" i="12"/>
  <c r="A247" i="12"/>
  <c r="G246" i="12"/>
  <c r="F246" i="12"/>
  <c r="E246" i="12"/>
  <c r="D246" i="12"/>
  <c r="C246" i="12"/>
  <c r="B246" i="12"/>
  <c r="A246" i="12"/>
  <c r="G245" i="12"/>
  <c r="F245" i="12"/>
  <c r="E245" i="12"/>
  <c r="D245" i="12"/>
  <c r="C245" i="12"/>
  <c r="B245" i="12"/>
  <c r="A245" i="12"/>
  <c r="G244" i="12"/>
  <c r="F244" i="12"/>
  <c r="E244" i="12"/>
  <c r="D244" i="12"/>
  <c r="C244" i="12"/>
  <c r="B244" i="12"/>
  <c r="A244" i="12"/>
  <c r="G243" i="12"/>
  <c r="F243" i="12"/>
  <c r="E243" i="12"/>
  <c r="D243" i="12"/>
  <c r="C243" i="12"/>
  <c r="B243" i="12"/>
  <c r="A243" i="12"/>
  <c r="G242" i="12"/>
  <c r="F242" i="12"/>
  <c r="E242" i="12"/>
  <c r="D242" i="12"/>
  <c r="C242" i="12"/>
  <c r="B242" i="12"/>
  <c r="A242" i="12"/>
  <c r="G241" i="12"/>
  <c r="F241" i="12"/>
  <c r="E241" i="12"/>
  <c r="D241" i="12"/>
  <c r="C241" i="12"/>
  <c r="B241" i="12"/>
  <c r="A241" i="12"/>
  <c r="G240" i="12"/>
  <c r="F240" i="12"/>
  <c r="E240" i="12"/>
  <c r="D240" i="12"/>
  <c r="C240" i="12"/>
  <c r="B240" i="12"/>
  <c r="A240" i="12"/>
  <c r="G239" i="12"/>
  <c r="F239" i="12"/>
  <c r="E239" i="12"/>
  <c r="D239" i="12"/>
  <c r="C239" i="12"/>
  <c r="B239" i="12"/>
  <c r="A239" i="12"/>
  <c r="G238" i="12"/>
  <c r="F238" i="12"/>
  <c r="E238" i="12"/>
  <c r="D238" i="12"/>
  <c r="C238" i="12"/>
  <c r="B238" i="12"/>
  <c r="A238" i="12"/>
  <c r="G237" i="12"/>
  <c r="F237" i="12"/>
  <c r="E237" i="12"/>
  <c r="D237" i="12"/>
  <c r="C237" i="12"/>
  <c r="B237" i="12"/>
  <c r="A237" i="12"/>
  <c r="G236" i="12"/>
  <c r="F236" i="12"/>
  <c r="E236" i="12"/>
  <c r="D236" i="12"/>
  <c r="C236" i="12"/>
  <c r="B236" i="12"/>
  <c r="A236" i="12"/>
  <c r="G235" i="12"/>
  <c r="F235" i="12"/>
  <c r="E235" i="12"/>
  <c r="D235" i="12"/>
  <c r="C235" i="12"/>
  <c r="B235" i="12"/>
  <c r="A235" i="12"/>
  <c r="G234" i="12"/>
  <c r="F234" i="12"/>
  <c r="E234" i="12"/>
  <c r="D234" i="12"/>
  <c r="C234" i="12"/>
  <c r="B234" i="12"/>
  <c r="A234" i="12"/>
  <c r="G233" i="12"/>
  <c r="F233" i="12"/>
  <c r="E233" i="12"/>
  <c r="D233" i="12"/>
  <c r="C233" i="12"/>
  <c r="B233" i="12"/>
  <c r="A233" i="12"/>
  <c r="G232" i="12"/>
  <c r="F232" i="12"/>
  <c r="E232" i="12"/>
  <c r="D232" i="12"/>
  <c r="C232" i="12"/>
  <c r="B232" i="12"/>
  <c r="A232" i="12"/>
  <c r="G231" i="12"/>
  <c r="F231" i="12"/>
  <c r="E231" i="12"/>
  <c r="D231" i="12"/>
  <c r="C231" i="12"/>
  <c r="B231" i="12"/>
  <c r="A231" i="12"/>
  <c r="G230" i="12"/>
  <c r="F230" i="12"/>
  <c r="E230" i="12"/>
  <c r="D230" i="12"/>
  <c r="C230" i="12"/>
  <c r="B230" i="12"/>
  <c r="A230" i="12"/>
  <c r="G229" i="12"/>
  <c r="F229" i="12"/>
  <c r="E229" i="12"/>
  <c r="D229" i="12"/>
  <c r="C229" i="12"/>
  <c r="B229" i="12"/>
  <c r="A229" i="12"/>
  <c r="G228" i="12"/>
  <c r="F228" i="12"/>
  <c r="E228" i="12"/>
  <c r="D228" i="12"/>
  <c r="C228" i="12"/>
  <c r="B228" i="12"/>
  <c r="A228" i="12"/>
  <c r="G227" i="12"/>
  <c r="F227" i="12"/>
  <c r="E227" i="12"/>
  <c r="D227" i="12"/>
  <c r="C227" i="12"/>
  <c r="B227" i="12"/>
  <c r="A227" i="12"/>
  <c r="G226" i="12"/>
  <c r="F226" i="12"/>
  <c r="E226" i="12"/>
  <c r="D226" i="12"/>
  <c r="C226" i="12"/>
  <c r="B226" i="12"/>
  <c r="A226" i="12"/>
  <c r="G225" i="12"/>
  <c r="F225" i="12"/>
  <c r="E225" i="12"/>
  <c r="D225" i="12"/>
  <c r="C225" i="12"/>
  <c r="B225" i="12"/>
  <c r="A225" i="12"/>
  <c r="G224" i="12"/>
  <c r="F224" i="12"/>
  <c r="E224" i="12"/>
  <c r="D224" i="12"/>
  <c r="C224" i="12"/>
  <c r="B224" i="12"/>
  <c r="A224" i="12"/>
  <c r="G223" i="12"/>
  <c r="F223" i="12"/>
  <c r="E223" i="12"/>
  <c r="D223" i="12"/>
  <c r="C223" i="12"/>
  <c r="B223" i="12"/>
  <c r="A223" i="12"/>
  <c r="G222" i="12"/>
  <c r="F222" i="12"/>
  <c r="E222" i="12"/>
  <c r="D222" i="12"/>
  <c r="C222" i="12"/>
  <c r="B222" i="12"/>
  <c r="A222" i="12"/>
  <c r="G221" i="12"/>
  <c r="F221" i="12"/>
  <c r="E221" i="12"/>
  <c r="D221" i="12"/>
  <c r="C221" i="12"/>
  <c r="B221" i="12"/>
  <c r="A221" i="12"/>
  <c r="G220" i="12"/>
  <c r="F220" i="12"/>
  <c r="E220" i="12"/>
  <c r="D220" i="12"/>
  <c r="C220" i="12"/>
  <c r="B220" i="12"/>
  <c r="A220" i="12"/>
  <c r="G219" i="12"/>
  <c r="F219" i="12"/>
  <c r="E219" i="12"/>
  <c r="D219" i="12"/>
  <c r="C219" i="12"/>
  <c r="B219" i="12"/>
  <c r="A219" i="12"/>
  <c r="G218" i="12"/>
  <c r="F218" i="12"/>
  <c r="E218" i="12"/>
  <c r="D218" i="12"/>
  <c r="C218" i="12"/>
  <c r="B218" i="12"/>
  <c r="A218" i="12"/>
  <c r="G217" i="12"/>
  <c r="F217" i="12"/>
  <c r="E217" i="12"/>
  <c r="D217" i="12"/>
  <c r="C217" i="12"/>
  <c r="B217" i="12"/>
  <c r="A217" i="12"/>
  <c r="G216" i="12"/>
  <c r="F216" i="12"/>
  <c r="E216" i="12"/>
  <c r="D216" i="12"/>
  <c r="C216" i="12"/>
  <c r="B216" i="12"/>
  <c r="A216" i="12"/>
  <c r="G215" i="12"/>
  <c r="F215" i="12"/>
  <c r="E215" i="12"/>
  <c r="D215" i="12"/>
  <c r="C215" i="12"/>
  <c r="B215" i="12"/>
  <c r="A215" i="12"/>
  <c r="G214" i="12"/>
  <c r="F214" i="12"/>
  <c r="E214" i="12"/>
  <c r="D214" i="12"/>
  <c r="C214" i="12"/>
  <c r="B214" i="12"/>
  <c r="A214" i="12"/>
  <c r="G213" i="12"/>
  <c r="F213" i="12"/>
  <c r="E213" i="12"/>
  <c r="D213" i="12"/>
  <c r="C213" i="12"/>
  <c r="B213" i="12"/>
  <c r="A213" i="12"/>
  <c r="G212" i="12"/>
  <c r="F212" i="12"/>
  <c r="E212" i="12"/>
  <c r="D212" i="12"/>
  <c r="C212" i="12"/>
  <c r="B212" i="12"/>
  <c r="A212" i="12"/>
  <c r="G211" i="12"/>
  <c r="F211" i="12"/>
  <c r="E211" i="12"/>
  <c r="D211" i="12"/>
  <c r="C211" i="12"/>
  <c r="B211" i="12"/>
  <c r="A211" i="12"/>
  <c r="G210" i="12"/>
  <c r="F210" i="12"/>
  <c r="E210" i="12"/>
  <c r="D210" i="12"/>
  <c r="C210" i="12"/>
  <c r="B210" i="12"/>
  <c r="A210" i="12"/>
  <c r="G209" i="12"/>
  <c r="F209" i="12"/>
  <c r="E209" i="12"/>
  <c r="D209" i="12"/>
  <c r="C209" i="12"/>
  <c r="B209" i="12"/>
  <c r="A209" i="12"/>
  <c r="G208" i="12"/>
  <c r="F208" i="12"/>
  <c r="E208" i="12"/>
  <c r="D208" i="12"/>
  <c r="C208" i="12"/>
  <c r="B208" i="12"/>
  <c r="A208" i="12"/>
  <c r="G207" i="12"/>
  <c r="F207" i="12"/>
  <c r="E207" i="12"/>
  <c r="D207" i="12"/>
  <c r="C207" i="12"/>
  <c r="B207" i="12"/>
  <c r="A207" i="12"/>
  <c r="G206" i="12"/>
  <c r="F206" i="12"/>
  <c r="E206" i="12"/>
  <c r="D206" i="12"/>
  <c r="C206" i="12"/>
  <c r="B206" i="12"/>
  <c r="A206" i="12"/>
  <c r="G205" i="12"/>
  <c r="F205" i="12"/>
  <c r="E205" i="12"/>
  <c r="D205" i="12"/>
  <c r="C205" i="12"/>
  <c r="B205" i="12"/>
  <c r="A205" i="12"/>
  <c r="G204" i="12"/>
  <c r="F204" i="12"/>
  <c r="E204" i="12"/>
  <c r="D204" i="12"/>
  <c r="C204" i="12"/>
  <c r="B204" i="12"/>
  <c r="A204" i="12"/>
  <c r="G203" i="12"/>
  <c r="F203" i="12"/>
  <c r="E203" i="12"/>
  <c r="D203" i="12"/>
  <c r="C203" i="12"/>
  <c r="B203" i="12"/>
  <c r="A203" i="12"/>
  <c r="G202" i="12"/>
  <c r="F202" i="12"/>
  <c r="E202" i="12"/>
  <c r="D202" i="12"/>
  <c r="C202" i="12"/>
  <c r="B202" i="12"/>
  <c r="A202" i="12"/>
  <c r="G201" i="12"/>
  <c r="F201" i="12"/>
  <c r="E201" i="12"/>
  <c r="D201" i="12"/>
  <c r="C201" i="12"/>
  <c r="B201" i="12"/>
  <c r="A201" i="12"/>
  <c r="G200" i="12"/>
  <c r="F200" i="12"/>
  <c r="E200" i="12"/>
  <c r="D200" i="12"/>
  <c r="C200" i="12"/>
  <c r="B200" i="12"/>
  <c r="A200" i="12"/>
  <c r="G199" i="12"/>
  <c r="F199" i="12"/>
  <c r="E199" i="12"/>
  <c r="D199" i="12"/>
  <c r="C199" i="12"/>
  <c r="B199" i="12"/>
  <c r="A199" i="12"/>
  <c r="G198" i="12"/>
  <c r="F198" i="12"/>
  <c r="E198" i="12"/>
  <c r="D198" i="12"/>
  <c r="C198" i="12"/>
  <c r="B198" i="12"/>
  <c r="A198" i="12"/>
  <c r="G197" i="12"/>
  <c r="F197" i="12"/>
  <c r="E197" i="12"/>
  <c r="D197" i="12"/>
  <c r="C197" i="12"/>
  <c r="B197" i="12"/>
  <c r="A197" i="12"/>
  <c r="G196" i="12"/>
  <c r="F196" i="12"/>
  <c r="E196" i="12"/>
  <c r="D196" i="12"/>
  <c r="C196" i="12"/>
  <c r="B196" i="12"/>
  <c r="A196" i="12"/>
  <c r="G195" i="12"/>
  <c r="F195" i="12"/>
  <c r="E195" i="12"/>
  <c r="D195" i="12"/>
  <c r="C195" i="12"/>
  <c r="B195" i="12"/>
  <c r="A195" i="12"/>
  <c r="G194" i="12"/>
  <c r="F194" i="12"/>
  <c r="E194" i="12"/>
  <c r="D194" i="12"/>
  <c r="C194" i="12"/>
  <c r="B194" i="12"/>
  <c r="A194" i="12"/>
  <c r="G193" i="12"/>
  <c r="F193" i="12"/>
  <c r="E193" i="12"/>
  <c r="D193" i="12"/>
  <c r="C193" i="12"/>
  <c r="B193" i="12"/>
  <c r="A193" i="12"/>
  <c r="G192" i="12"/>
  <c r="F192" i="12"/>
  <c r="E192" i="12"/>
  <c r="D192" i="12"/>
  <c r="C192" i="12"/>
  <c r="B192" i="12"/>
  <c r="A192" i="12"/>
  <c r="G191" i="12"/>
  <c r="F191" i="12"/>
  <c r="E191" i="12"/>
  <c r="D191" i="12"/>
  <c r="C191" i="12"/>
  <c r="B191" i="12"/>
  <c r="A191" i="12"/>
  <c r="G190" i="12"/>
  <c r="F190" i="12"/>
  <c r="E190" i="12"/>
  <c r="D190" i="12"/>
  <c r="C190" i="12"/>
  <c r="B190" i="12"/>
  <c r="A190" i="12"/>
  <c r="G189" i="12"/>
  <c r="F189" i="12"/>
  <c r="E189" i="12"/>
  <c r="D189" i="12"/>
  <c r="C189" i="12"/>
  <c r="B189" i="12"/>
  <c r="A189" i="12"/>
  <c r="G188" i="12"/>
  <c r="F188" i="12"/>
  <c r="E188" i="12"/>
  <c r="D188" i="12"/>
  <c r="C188" i="12"/>
  <c r="B188" i="12"/>
  <c r="A188" i="12"/>
  <c r="G187" i="12"/>
  <c r="F187" i="12"/>
  <c r="E187" i="12"/>
  <c r="D187" i="12"/>
  <c r="C187" i="12"/>
  <c r="B187" i="12"/>
  <c r="A187" i="12"/>
  <c r="G186" i="12"/>
  <c r="F186" i="12"/>
  <c r="E186" i="12"/>
  <c r="D186" i="12"/>
  <c r="C186" i="12"/>
  <c r="B186" i="12"/>
  <c r="A186" i="12"/>
  <c r="G185" i="12"/>
  <c r="F185" i="12"/>
  <c r="E185" i="12"/>
  <c r="D185" i="12"/>
  <c r="C185" i="12"/>
  <c r="B185" i="12"/>
  <c r="A185" i="12"/>
  <c r="G184" i="12"/>
  <c r="F184" i="12"/>
  <c r="E184" i="12"/>
  <c r="D184" i="12"/>
  <c r="C184" i="12"/>
  <c r="B184" i="12"/>
  <c r="A184" i="12"/>
  <c r="G183" i="12"/>
  <c r="F183" i="12"/>
  <c r="E183" i="12"/>
  <c r="D183" i="12"/>
  <c r="C183" i="12"/>
  <c r="B183" i="12"/>
  <c r="A183" i="12"/>
  <c r="G182" i="12"/>
  <c r="F182" i="12"/>
  <c r="E182" i="12"/>
  <c r="D182" i="12"/>
  <c r="C182" i="12"/>
  <c r="B182" i="12"/>
  <c r="A182" i="12"/>
  <c r="G181" i="12"/>
  <c r="F181" i="12"/>
  <c r="E181" i="12"/>
  <c r="D181" i="12"/>
  <c r="C181" i="12"/>
  <c r="B181" i="12"/>
  <c r="A181" i="12"/>
  <c r="G180" i="12"/>
  <c r="F180" i="12"/>
  <c r="E180" i="12"/>
  <c r="D180" i="12"/>
  <c r="C180" i="12"/>
  <c r="B180" i="12"/>
  <c r="A180" i="12"/>
  <c r="G179" i="12"/>
  <c r="F179" i="12"/>
  <c r="E179" i="12"/>
  <c r="D179" i="12"/>
  <c r="C179" i="12"/>
  <c r="B179" i="12"/>
  <c r="A179" i="12"/>
  <c r="G178" i="12"/>
  <c r="F178" i="12"/>
  <c r="E178" i="12"/>
  <c r="D178" i="12"/>
  <c r="C178" i="12"/>
  <c r="B178" i="12"/>
  <c r="A178" i="12"/>
  <c r="G177" i="12"/>
  <c r="F177" i="12"/>
  <c r="E177" i="12"/>
  <c r="D177" i="12"/>
  <c r="C177" i="12"/>
  <c r="B177" i="12"/>
  <c r="A177" i="12"/>
  <c r="G176" i="12"/>
  <c r="F176" i="12"/>
  <c r="E176" i="12"/>
  <c r="D176" i="12"/>
  <c r="C176" i="12"/>
  <c r="B176" i="12"/>
  <c r="A176" i="12"/>
  <c r="G175" i="12"/>
  <c r="F175" i="12"/>
  <c r="E175" i="12"/>
  <c r="D175" i="12"/>
  <c r="C175" i="12"/>
  <c r="B175" i="12"/>
  <c r="A175" i="12"/>
  <c r="G174" i="12"/>
  <c r="F174" i="12"/>
  <c r="E174" i="12"/>
  <c r="D174" i="12"/>
  <c r="C174" i="12"/>
  <c r="B174" i="12"/>
  <c r="A174" i="12"/>
  <c r="G173" i="12"/>
  <c r="F173" i="12"/>
  <c r="E173" i="12"/>
  <c r="D173" i="12"/>
  <c r="C173" i="12"/>
  <c r="B173" i="12"/>
  <c r="A173" i="12"/>
  <c r="G172" i="12"/>
  <c r="F172" i="12"/>
  <c r="E172" i="12"/>
  <c r="D172" i="12"/>
  <c r="C172" i="12"/>
  <c r="B172" i="12"/>
  <c r="A172" i="12"/>
  <c r="G171" i="12"/>
  <c r="F171" i="12"/>
  <c r="E171" i="12"/>
  <c r="D171" i="12"/>
  <c r="C171" i="12"/>
  <c r="B171" i="12"/>
  <c r="A171" i="12"/>
  <c r="G170" i="12"/>
  <c r="F170" i="12"/>
  <c r="E170" i="12"/>
  <c r="D170" i="12"/>
  <c r="C170" i="12"/>
  <c r="B170" i="12"/>
  <c r="A170" i="12"/>
  <c r="G169" i="12"/>
  <c r="F169" i="12"/>
  <c r="E169" i="12"/>
  <c r="D169" i="12"/>
  <c r="C169" i="12"/>
  <c r="B169" i="12"/>
  <c r="A169" i="12"/>
  <c r="G168" i="12"/>
  <c r="F168" i="12"/>
  <c r="E168" i="12"/>
  <c r="D168" i="12"/>
  <c r="C168" i="12"/>
  <c r="B168" i="12"/>
  <c r="A168" i="12"/>
  <c r="G167" i="12"/>
  <c r="F167" i="12"/>
  <c r="E167" i="12"/>
  <c r="D167" i="12"/>
  <c r="C167" i="12"/>
  <c r="B167" i="12"/>
  <c r="A167" i="12"/>
  <c r="G166" i="12"/>
  <c r="F166" i="12"/>
  <c r="E166" i="12"/>
  <c r="D166" i="12"/>
  <c r="C166" i="12"/>
  <c r="B166" i="12"/>
  <c r="A166" i="12"/>
  <c r="G165" i="12"/>
  <c r="F165" i="12"/>
  <c r="E165" i="12"/>
  <c r="D165" i="12"/>
  <c r="C165" i="12"/>
  <c r="B165" i="12"/>
  <c r="A165" i="12"/>
  <c r="G164" i="12"/>
  <c r="F164" i="12"/>
  <c r="E164" i="12"/>
  <c r="D164" i="12"/>
  <c r="C164" i="12"/>
  <c r="B164" i="12"/>
  <c r="A164" i="12"/>
  <c r="G163" i="12"/>
  <c r="F163" i="12"/>
  <c r="E163" i="12"/>
  <c r="D163" i="12"/>
  <c r="C163" i="12"/>
  <c r="B163" i="12"/>
  <c r="A163" i="12"/>
  <c r="G162" i="12"/>
  <c r="F162" i="12"/>
  <c r="E162" i="12"/>
  <c r="D162" i="12"/>
  <c r="C162" i="12"/>
  <c r="B162" i="12"/>
  <c r="A162" i="12"/>
  <c r="G161" i="12"/>
  <c r="F161" i="12"/>
  <c r="E161" i="12"/>
  <c r="D161" i="12"/>
  <c r="C161" i="12"/>
  <c r="B161" i="12"/>
  <c r="A161" i="12"/>
  <c r="G160" i="12"/>
  <c r="F160" i="12"/>
  <c r="E160" i="12"/>
  <c r="D160" i="12"/>
  <c r="C160" i="12"/>
  <c r="B160" i="12"/>
  <c r="A160" i="12"/>
  <c r="G159" i="12"/>
  <c r="F159" i="12"/>
  <c r="E159" i="12"/>
  <c r="D159" i="12"/>
  <c r="C159" i="12"/>
  <c r="B159" i="12"/>
  <c r="A159" i="12"/>
  <c r="G158" i="12"/>
  <c r="F158" i="12"/>
  <c r="E158" i="12"/>
  <c r="D158" i="12"/>
  <c r="C158" i="12"/>
  <c r="B158" i="12"/>
  <c r="A158" i="12"/>
  <c r="G157" i="12"/>
  <c r="F157" i="12"/>
  <c r="E157" i="12"/>
  <c r="D157" i="12"/>
  <c r="C157" i="12"/>
  <c r="B157" i="12"/>
  <c r="A157" i="12"/>
  <c r="G156" i="12"/>
  <c r="F156" i="12"/>
  <c r="E156" i="12"/>
  <c r="D156" i="12"/>
  <c r="C156" i="12"/>
  <c r="B156" i="12"/>
  <c r="A156" i="12"/>
  <c r="G155" i="12"/>
  <c r="F155" i="12"/>
  <c r="E155" i="12"/>
  <c r="D155" i="12"/>
  <c r="C155" i="12"/>
  <c r="B155" i="12"/>
  <c r="A155" i="12"/>
  <c r="G154" i="12"/>
  <c r="F154" i="12"/>
  <c r="E154" i="12"/>
  <c r="D154" i="12"/>
  <c r="C154" i="12"/>
  <c r="B154" i="12"/>
  <c r="A154" i="12"/>
  <c r="G153" i="12"/>
  <c r="F153" i="12"/>
  <c r="E153" i="12"/>
  <c r="D153" i="12"/>
  <c r="C153" i="12"/>
  <c r="B153" i="12"/>
  <c r="A153" i="12"/>
  <c r="G152" i="12"/>
  <c r="F152" i="12"/>
  <c r="E152" i="12"/>
  <c r="D152" i="12"/>
  <c r="C152" i="12"/>
  <c r="B152" i="12"/>
  <c r="A152" i="12"/>
  <c r="G151" i="12"/>
  <c r="F151" i="12"/>
  <c r="E151" i="12"/>
  <c r="D151" i="12"/>
  <c r="C151" i="12"/>
  <c r="B151" i="12"/>
  <c r="A151" i="12"/>
  <c r="G150" i="12"/>
  <c r="F150" i="12"/>
  <c r="E150" i="12"/>
  <c r="D150" i="12"/>
  <c r="C150" i="12"/>
  <c r="B150" i="12"/>
  <c r="A150" i="12"/>
  <c r="G149" i="12"/>
  <c r="F149" i="12"/>
  <c r="E149" i="12"/>
  <c r="D149" i="12"/>
  <c r="C149" i="12"/>
  <c r="B149" i="12"/>
  <c r="A149" i="12"/>
  <c r="G148" i="12"/>
  <c r="F148" i="12"/>
  <c r="E148" i="12"/>
  <c r="D148" i="12"/>
  <c r="C148" i="12"/>
  <c r="B148" i="12"/>
  <c r="A148" i="12"/>
  <c r="G147" i="12"/>
  <c r="F147" i="12"/>
  <c r="E147" i="12"/>
  <c r="D147" i="12"/>
  <c r="C147" i="12"/>
  <c r="B147" i="12"/>
  <c r="A147" i="12"/>
  <c r="G146" i="12"/>
  <c r="F146" i="12"/>
  <c r="E146" i="12"/>
  <c r="D146" i="12"/>
  <c r="C146" i="12"/>
  <c r="B146" i="12"/>
  <c r="A146" i="12"/>
  <c r="G145" i="12"/>
  <c r="F145" i="12"/>
  <c r="E145" i="12"/>
  <c r="D145" i="12"/>
  <c r="C145" i="12"/>
  <c r="B145" i="12"/>
  <c r="A145" i="12"/>
  <c r="G144" i="12"/>
  <c r="F144" i="12"/>
  <c r="E144" i="12"/>
  <c r="D144" i="12"/>
  <c r="C144" i="12"/>
  <c r="B144" i="12"/>
  <c r="A144" i="12"/>
  <c r="G143" i="12"/>
  <c r="F143" i="12"/>
  <c r="E143" i="12"/>
  <c r="D143" i="12"/>
  <c r="C143" i="12"/>
  <c r="B143" i="12"/>
  <c r="A143" i="12"/>
  <c r="G142" i="12"/>
  <c r="F142" i="12"/>
  <c r="E142" i="12"/>
  <c r="D142" i="12"/>
  <c r="C142" i="12"/>
  <c r="B142" i="12"/>
  <c r="A142" i="12"/>
  <c r="G141" i="12"/>
  <c r="F141" i="12"/>
  <c r="E141" i="12"/>
  <c r="D141" i="12"/>
  <c r="C141" i="12"/>
  <c r="B141" i="12"/>
  <c r="A141" i="12"/>
  <c r="G140" i="12"/>
  <c r="F140" i="12"/>
  <c r="E140" i="12"/>
  <c r="D140" i="12"/>
  <c r="C140" i="12"/>
  <c r="B140" i="12"/>
  <c r="A140" i="12"/>
  <c r="G139" i="12"/>
  <c r="F139" i="12"/>
  <c r="E139" i="12"/>
  <c r="D139" i="12"/>
  <c r="C139" i="12"/>
  <c r="B139" i="12"/>
  <c r="A139" i="12"/>
  <c r="G138" i="12"/>
  <c r="F138" i="12"/>
  <c r="E138" i="12"/>
  <c r="D138" i="12"/>
  <c r="C138" i="12"/>
  <c r="B138" i="12"/>
  <c r="A138" i="12"/>
  <c r="G137" i="12"/>
  <c r="F137" i="12"/>
  <c r="E137" i="12"/>
  <c r="D137" i="12"/>
  <c r="C137" i="12"/>
  <c r="B137" i="12"/>
  <c r="A137" i="12"/>
  <c r="G136" i="12"/>
  <c r="F136" i="12"/>
  <c r="E136" i="12"/>
  <c r="D136" i="12"/>
  <c r="C136" i="12"/>
  <c r="B136" i="12"/>
  <c r="A136" i="12"/>
  <c r="G135" i="12"/>
  <c r="F135" i="12"/>
  <c r="E135" i="12"/>
  <c r="D135" i="12"/>
  <c r="C135" i="12"/>
  <c r="B135" i="12"/>
  <c r="A135" i="12"/>
  <c r="G134" i="12"/>
  <c r="F134" i="12"/>
  <c r="E134" i="12"/>
  <c r="D134" i="12"/>
  <c r="C134" i="12"/>
  <c r="B134" i="12"/>
  <c r="A134" i="12"/>
  <c r="G133" i="12"/>
  <c r="F133" i="12"/>
  <c r="E133" i="12"/>
  <c r="D133" i="12"/>
  <c r="C133" i="12"/>
  <c r="B133" i="12"/>
  <c r="A133" i="12"/>
  <c r="G132" i="12"/>
  <c r="F132" i="12"/>
  <c r="E132" i="12"/>
  <c r="D132" i="12"/>
  <c r="C132" i="12"/>
  <c r="B132" i="12"/>
  <c r="A132" i="12"/>
  <c r="G131" i="12"/>
  <c r="F131" i="12"/>
  <c r="E131" i="12"/>
  <c r="D131" i="12"/>
  <c r="C131" i="12"/>
  <c r="B131" i="12"/>
  <c r="A131" i="12"/>
  <c r="G130" i="12"/>
  <c r="F130" i="12"/>
  <c r="E130" i="12"/>
  <c r="D130" i="12"/>
  <c r="C130" i="12"/>
  <c r="B130" i="12"/>
  <c r="A130" i="12"/>
  <c r="G129" i="12"/>
  <c r="F129" i="12"/>
  <c r="E129" i="12"/>
  <c r="D129" i="12"/>
  <c r="C129" i="12"/>
  <c r="B129" i="12"/>
  <c r="A129" i="12"/>
  <c r="G128" i="12"/>
  <c r="F128" i="12"/>
  <c r="E128" i="12"/>
  <c r="D128" i="12"/>
  <c r="C128" i="12"/>
  <c r="B128" i="12"/>
  <c r="A128" i="12"/>
  <c r="G127" i="12"/>
  <c r="F127" i="12"/>
  <c r="E127" i="12"/>
  <c r="D127" i="12"/>
  <c r="C127" i="12"/>
  <c r="B127" i="12"/>
  <c r="A127" i="12"/>
  <c r="G126" i="12"/>
  <c r="F126" i="12"/>
  <c r="E126" i="12"/>
  <c r="D126" i="12"/>
  <c r="C126" i="12"/>
  <c r="B126" i="12"/>
  <c r="A126" i="12"/>
  <c r="G125" i="12"/>
  <c r="F125" i="12"/>
  <c r="E125" i="12"/>
  <c r="D125" i="12"/>
  <c r="C125" i="12"/>
  <c r="B125" i="12"/>
  <c r="A125" i="12"/>
  <c r="G124" i="12"/>
  <c r="F124" i="12"/>
  <c r="E124" i="12"/>
  <c r="D124" i="12"/>
  <c r="C124" i="12"/>
  <c r="B124" i="12"/>
  <c r="A124" i="12"/>
  <c r="G123" i="12"/>
  <c r="F123" i="12"/>
  <c r="E123" i="12"/>
  <c r="D123" i="12"/>
  <c r="C123" i="12"/>
  <c r="B123" i="12"/>
  <c r="A123" i="12"/>
  <c r="G122" i="12"/>
  <c r="F122" i="12"/>
  <c r="E122" i="12"/>
  <c r="D122" i="12"/>
  <c r="C122" i="12"/>
  <c r="B122" i="12"/>
  <c r="A122" i="12"/>
  <c r="G121" i="12"/>
  <c r="F121" i="12"/>
  <c r="E121" i="12"/>
  <c r="D121" i="12"/>
  <c r="C121" i="12"/>
  <c r="B121" i="12"/>
  <c r="A121" i="12"/>
  <c r="G120" i="12"/>
  <c r="F120" i="12"/>
  <c r="E120" i="12"/>
  <c r="D120" i="12"/>
  <c r="C120" i="12"/>
  <c r="B120" i="12"/>
  <c r="A120" i="12"/>
  <c r="G119" i="12"/>
  <c r="F119" i="12"/>
  <c r="E119" i="12"/>
  <c r="D119" i="12"/>
  <c r="C119" i="12"/>
  <c r="B119" i="12"/>
  <c r="A119" i="12"/>
  <c r="G118" i="12"/>
  <c r="F118" i="12"/>
  <c r="E118" i="12"/>
  <c r="D118" i="12"/>
  <c r="C118" i="12"/>
  <c r="B118" i="12"/>
  <c r="A118" i="12"/>
  <c r="G117" i="12"/>
  <c r="F117" i="12"/>
  <c r="E117" i="12"/>
  <c r="D117" i="12"/>
  <c r="C117" i="12"/>
  <c r="B117" i="12"/>
  <c r="A117" i="12"/>
  <c r="G116" i="12"/>
  <c r="F116" i="12"/>
  <c r="E116" i="12"/>
  <c r="D116" i="12"/>
  <c r="C116" i="12"/>
  <c r="B116" i="12"/>
  <c r="A116" i="12"/>
  <c r="G115" i="12"/>
  <c r="F115" i="12"/>
  <c r="E115" i="12"/>
  <c r="D115" i="12"/>
  <c r="C115" i="12"/>
  <c r="B115" i="12"/>
  <c r="A115" i="12"/>
  <c r="G114" i="12"/>
  <c r="F114" i="12"/>
  <c r="E114" i="12"/>
  <c r="D114" i="12"/>
  <c r="C114" i="12"/>
  <c r="B114" i="12"/>
  <c r="A114" i="12"/>
  <c r="G113" i="12"/>
  <c r="F113" i="12"/>
  <c r="E113" i="12"/>
  <c r="D113" i="12"/>
  <c r="C113" i="12"/>
  <c r="B113" i="12"/>
  <c r="A113" i="12"/>
  <c r="G112" i="12"/>
  <c r="F112" i="12"/>
  <c r="E112" i="12"/>
  <c r="D112" i="12"/>
  <c r="C112" i="12"/>
  <c r="B112" i="12"/>
  <c r="A112" i="12"/>
  <c r="G111" i="12"/>
  <c r="F111" i="12"/>
  <c r="E111" i="12"/>
  <c r="D111" i="12"/>
  <c r="C111" i="12"/>
  <c r="B111" i="12"/>
  <c r="A111" i="12"/>
  <c r="G110" i="12"/>
  <c r="F110" i="12"/>
  <c r="E110" i="12"/>
  <c r="D110" i="12"/>
  <c r="C110" i="12"/>
  <c r="B110" i="12"/>
  <c r="A110" i="12"/>
  <c r="G109" i="12"/>
  <c r="F109" i="12"/>
  <c r="E109" i="12"/>
  <c r="D109" i="12"/>
  <c r="C109" i="12"/>
  <c r="B109" i="12"/>
  <c r="A109" i="12"/>
  <c r="G108" i="12"/>
  <c r="F108" i="12"/>
  <c r="E108" i="12"/>
  <c r="D108" i="12"/>
  <c r="C108" i="12"/>
  <c r="B108" i="12"/>
  <c r="A108" i="12"/>
  <c r="G107" i="12"/>
  <c r="F107" i="12"/>
  <c r="E107" i="12"/>
  <c r="D107" i="12"/>
  <c r="C107" i="12"/>
  <c r="B107" i="12"/>
  <c r="A107" i="12"/>
  <c r="G106" i="12"/>
  <c r="F106" i="12"/>
  <c r="E106" i="12"/>
  <c r="D106" i="12"/>
  <c r="C106" i="12"/>
  <c r="B106" i="12"/>
  <c r="A106" i="12"/>
  <c r="G105" i="12"/>
  <c r="F105" i="12"/>
  <c r="E105" i="12"/>
  <c r="D105" i="12"/>
  <c r="C105" i="12"/>
  <c r="B105" i="12"/>
  <c r="A105" i="12"/>
  <c r="G104" i="12"/>
  <c r="F104" i="12"/>
  <c r="E104" i="12"/>
  <c r="D104" i="12"/>
  <c r="C104" i="12"/>
  <c r="B104" i="12"/>
  <c r="A104" i="12"/>
  <c r="G103" i="12"/>
  <c r="F103" i="12"/>
  <c r="E103" i="12"/>
  <c r="D103" i="12"/>
  <c r="C103" i="12"/>
  <c r="B103" i="12"/>
  <c r="A103" i="12"/>
  <c r="G102" i="12"/>
  <c r="F102" i="12"/>
  <c r="E102" i="12"/>
  <c r="D102" i="12"/>
  <c r="C102" i="12"/>
  <c r="B102" i="12"/>
  <c r="A102" i="12"/>
  <c r="G101" i="12"/>
  <c r="F101" i="12"/>
  <c r="E101" i="12"/>
  <c r="D101" i="12"/>
  <c r="C101" i="12"/>
  <c r="B101" i="12"/>
  <c r="A101" i="12"/>
  <c r="G100" i="12"/>
  <c r="F100" i="12"/>
  <c r="E100" i="12"/>
  <c r="D100" i="12"/>
  <c r="C100" i="12"/>
  <c r="B100" i="12"/>
  <c r="A100" i="12"/>
  <c r="G99" i="12"/>
  <c r="F99" i="12"/>
  <c r="E99" i="12"/>
  <c r="D99" i="12"/>
  <c r="C99" i="12"/>
  <c r="B99" i="12"/>
  <c r="A99" i="12"/>
  <c r="G98" i="12"/>
  <c r="F98" i="12"/>
  <c r="E98" i="12"/>
  <c r="D98" i="12"/>
  <c r="C98" i="12"/>
  <c r="B98" i="12"/>
  <c r="A98" i="12"/>
  <c r="G97" i="12"/>
  <c r="F97" i="12"/>
  <c r="E97" i="12"/>
  <c r="D97" i="12"/>
  <c r="C97" i="12"/>
  <c r="B97" i="12"/>
  <c r="A97" i="12"/>
  <c r="G96" i="12"/>
  <c r="F96" i="12"/>
  <c r="E96" i="12"/>
  <c r="D96" i="12"/>
  <c r="C96" i="12"/>
  <c r="B96" i="12"/>
  <c r="A96" i="12"/>
  <c r="G95" i="12"/>
  <c r="F95" i="12"/>
  <c r="E95" i="12"/>
  <c r="D95" i="12"/>
  <c r="C95" i="12"/>
  <c r="B95" i="12"/>
  <c r="A95" i="12"/>
  <c r="G94" i="12"/>
  <c r="F94" i="12"/>
  <c r="E94" i="12"/>
  <c r="D94" i="12"/>
  <c r="C94" i="12"/>
  <c r="B94" i="12"/>
  <c r="A94" i="12"/>
  <c r="G93" i="12"/>
  <c r="F93" i="12"/>
  <c r="E93" i="12"/>
  <c r="D93" i="12"/>
  <c r="C93" i="12"/>
  <c r="B93" i="12"/>
  <c r="A93" i="12"/>
  <c r="G92" i="12"/>
  <c r="F92" i="12"/>
  <c r="E92" i="12"/>
  <c r="D92" i="12"/>
  <c r="C92" i="12"/>
  <c r="B92" i="12"/>
  <c r="A92" i="12"/>
  <c r="G91" i="12"/>
  <c r="F91" i="12"/>
  <c r="E91" i="12"/>
  <c r="D91" i="12"/>
  <c r="C91" i="12"/>
  <c r="B91" i="12"/>
  <c r="A91" i="12"/>
  <c r="G90" i="12"/>
  <c r="F90" i="12"/>
  <c r="E90" i="12"/>
  <c r="D90" i="12"/>
  <c r="C90" i="12"/>
  <c r="B90" i="12"/>
  <c r="A90" i="12"/>
  <c r="G89" i="12"/>
  <c r="F89" i="12"/>
  <c r="E89" i="12"/>
  <c r="D89" i="12"/>
  <c r="C89" i="12"/>
  <c r="B89" i="12"/>
  <c r="A89" i="12"/>
  <c r="G88" i="12"/>
  <c r="F88" i="12"/>
  <c r="E88" i="12"/>
  <c r="D88" i="12"/>
  <c r="C88" i="12"/>
  <c r="B88" i="12"/>
  <c r="A88" i="12"/>
  <c r="G87" i="12"/>
  <c r="F87" i="12"/>
  <c r="E87" i="12"/>
  <c r="D87" i="12"/>
  <c r="C87" i="12"/>
  <c r="B87" i="12"/>
  <c r="A87" i="12"/>
  <c r="G86" i="12"/>
  <c r="F86" i="12"/>
  <c r="E86" i="12"/>
  <c r="D86" i="12"/>
  <c r="C86" i="12"/>
  <c r="B86" i="12"/>
  <c r="A86" i="12"/>
  <c r="G85" i="12"/>
  <c r="F85" i="12"/>
  <c r="E85" i="12"/>
  <c r="D85" i="12"/>
  <c r="C85" i="12"/>
  <c r="B85" i="12"/>
  <c r="A85" i="12"/>
  <c r="G84" i="12"/>
  <c r="F84" i="12"/>
  <c r="E84" i="12"/>
  <c r="D84" i="12"/>
  <c r="C84" i="12"/>
  <c r="B84" i="12"/>
  <c r="A84" i="12"/>
  <c r="G83" i="12"/>
  <c r="F83" i="12"/>
  <c r="E83" i="12"/>
  <c r="D83" i="12"/>
  <c r="C83" i="12"/>
  <c r="B83" i="12"/>
  <c r="A83" i="12"/>
  <c r="G82" i="12"/>
  <c r="F82" i="12"/>
  <c r="E82" i="12"/>
  <c r="D82" i="12"/>
  <c r="C82" i="12"/>
  <c r="B82" i="12"/>
  <c r="A82" i="12"/>
  <c r="G81" i="12"/>
  <c r="F81" i="12"/>
  <c r="E81" i="12"/>
  <c r="D81" i="12"/>
  <c r="C81" i="12"/>
  <c r="B81" i="12"/>
  <c r="A81" i="12"/>
  <c r="G80" i="12"/>
  <c r="F80" i="12"/>
  <c r="E80" i="12"/>
  <c r="D80" i="12"/>
  <c r="C80" i="12"/>
  <c r="B80" i="12"/>
  <c r="A80" i="12"/>
  <c r="G79" i="12"/>
  <c r="F79" i="12"/>
  <c r="E79" i="12"/>
  <c r="D79" i="12"/>
  <c r="C79" i="12"/>
  <c r="B79" i="12"/>
  <c r="A79" i="12"/>
  <c r="G78" i="12"/>
  <c r="F78" i="12"/>
  <c r="E78" i="12"/>
  <c r="D78" i="12"/>
  <c r="C78" i="12"/>
  <c r="B78" i="12"/>
  <c r="A78" i="12"/>
  <c r="G77" i="12"/>
  <c r="F77" i="12"/>
  <c r="E77" i="12"/>
  <c r="D77" i="12"/>
  <c r="C77" i="12"/>
  <c r="B77" i="12"/>
  <c r="A77" i="12"/>
  <c r="G76" i="12"/>
  <c r="F76" i="12"/>
  <c r="E76" i="12"/>
  <c r="D76" i="12"/>
  <c r="C76" i="12"/>
  <c r="B76" i="12"/>
  <c r="A76" i="12"/>
  <c r="G75" i="12"/>
  <c r="F75" i="12"/>
  <c r="E75" i="12"/>
  <c r="D75" i="12"/>
  <c r="C75" i="12"/>
  <c r="B75" i="12"/>
  <c r="A75" i="12"/>
  <c r="G74" i="12"/>
  <c r="F74" i="12"/>
  <c r="E74" i="12"/>
  <c r="D74" i="12"/>
  <c r="C74" i="12"/>
  <c r="B74" i="12"/>
  <c r="A74" i="12"/>
  <c r="G73" i="12"/>
  <c r="F73" i="12"/>
  <c r="E73" i="12"/>
  <c r="D73" i="12"/>
  <c r="C73" i="12"/>
  <c r="B73" i="12"/>
  <c r="A73" i="12"/>
  <c r="G72" i="12"/>
  <c r="F72" i="12"/>
  <c r="E72" i="12"/>
  <c r="D72" i="12"/>
  <c r="C72" i="12"/>
  <c r="B72" i="12"/>
  <c r="A72" i="12"/>
  <c r="G71" i="12"/>
  <c r="F71" i="12"/>
  <c r="E71" i="12"/>
  <c r="D71" i="12"/>
  <c r="C71" i="12"/>
  <c r="B71" i="12"/>
  <c r="A71" i="12"/>
  <c r="G70" i="12"/>
  <c r="F70" i="12"/>
  <c r="E70" i="12"/>
  <c r="D70" i="12"/>
  <c r="C70" i="12"/>
  <c r="B70" i="12"/>
  <c r="A70" i="12"/>
  <c r="G69" i="12"/>
  <c r="F69" i="12"/>
  <c r="E69" i="12"/>
  <c r="D69" i="12"/>
  <c r="C69" i="12"/>
  <c r="B69" i="12"/>
  <c r="A69" i="12"/>
  <c r="G68" i="12"/>
  <c r="F68" i="12"/>
  <c r="E68" i="12"/>
  <c r="D68" i="12"/>
  <c r="C68" i="12"/>
  <c r="B68" i="12"/>
  <c r="A68" i="12"/>
  <c r="G67" i="12"/>
  <c r="F67" i="12"/>
  <c r="E67" i="12"/>
  <c r="D67" i="12"/>
  <c r="C67" i="12"/>
  <c r="B67" i="12"/>
  <c r="A67" i="12"/>
  <c r="G66" i="12"/>
  <c r="F66" i="12"/>
  <c r="E66" i="12"/>
  <c r="D66" i="12"/>
  <c r="C66" i="12"/>
  <c r="B66" i="12"/>
  <c r="A66" i="12"/>
  <c r="G65" i="12"/>
  <c r="F65" i="12"/>
  <c r="E65" i="12"/>
  <c r="D65" i="12"/>
  <c r="C65" i="12"/>
  <c r="B65" i="12"/>
  <c r="A65" i="12"/>
  <c r="G64" i="12"/>
  <c r="F64" i="12"/>
  <c r="E64" i="12"/>
  <c r="D64" i="12"/>
  <c r="C64" i="12"/>
  <c r="B64" i="12"/>
  <c r="A64" i="12"/>
  <c r="G63" i="12"/>
  <c r="F63" i="12"/>
  <c r="E63" i="12"/>
  <c r="D63" i="12"/>
  <c r="C63" i="12"/>
  <c r="B63" i="12"/>
  <c r="A63" i="12"/>
  <c r="G62" i="12"/>
  <c r="F62" i="12"/>
  <c r="E62" i="12"/>
  <c r="D62" i="12"/>
  <c r="C62" i="12"/>
  <c r="B62" i="12"/>
  <c r="A62" i="12"/>
  <c r="G61" i="12"/>
  <c r="F61" i="12"/>
  <c r="E61" i="12"/>
  <c r="D61" i="12"/>
  <c r="C61" i="12"/>
  <c r="B61" i="12"/>
  <c r="A61" i="12"/>
  <c r="G60" i="12"/>
  <c r="F60" i="12"/>
  <c r="E60" i="12"/>
  <c r="D60" i="12"/>
  <c r="C60" i="12"/>
  <c r="B60" i="12"/>
  <c r="A60" i="12"/>
  <c r="G59" i="12"/>
  <c r="F59" i="12"/>
  <c r="E59" i="12"/>
  <c r="D59" i="12"/>
  <c r="C59" i="12"/>
  <c r="B59" i="12"/>
  <c r="A59" i="12"/>
  <c r="G58" i="12"/>
  <c r="F58" i="12"/>
  <c r="E58" i="12"/>
  <c r="D58" i="12"/>
  <c r="C58" i="12"/>
  <c r="B58" i="12"/>
  <c r="A58" i="12"/>
  <c r="G57" i="12"/>
  <c r="F57" i="12"/>
  <c r="E57" i="12"/>
  <c r="D57" i="12"/>
  <c r="C57" i="12"/>
  <c r="B57" i="12"/>
  <c r="A57" i="12"/>
  <c r="G56" i="12"/>
  <c r="F56" i="12"/>
  <c r="E56" i="12"/>
  <c r="D56" i="12"/>
  <c r="C56" i="12"/>
  <c r="B56" i="12"/>
  <c r="A56" i="12"/>
  <c r="G55" i="12"/>
  <c r="F55" i="12"/>
  <c r="E55" i="12"/>
  <c r="D55" i="12"/>
  <c r="C55" i="12"/>
  <c r="B55" i="12"/>
  <c r="A55" i="12"/>
  <c r="G54" i="12"/>
  <c r="F54" i="12"/>
  <c r="E54" i="12"/>
  <c r="D54" i="12"/>
  <c r="C54" i="12"/>
  <c r="B54" i="12"/>
  <c r="A54" i="12"/>
  <c r="G53" i="12"/>
  <c r="F53" i="12"/>
  <c r="E53" i="12"/>
  <c r="D53" i="12"/>
  <c r="C53" i="12"/>
  <c r="B53" i="12"/>
  <c r="A53" i="12"/>
  <c r="G52" i="12"/>
  <c r="F52" i="12"/>
  <c r="E52" i="12"/>
  <c r="D52" i="12"/>
  <c r="C52" i="12"/>
  <c r="B52" i="12"/>
  <c r="A52" i="12"/>
  <c r="G51" i="12"/>
  <c r="F51" i="12"/>
  <c r="E51" i="12"/>
  <c r="D51" i="12"/>
  <c r="C51" i="12"/>
  <c r="B51" i="12"/>
  <c r="A51" i="12"/>
  <c r="G50" i="12"/>
  <c r="F50" i="12"/>
  <c r="E50" i="12"/>
  <c r="D50" i="12"/>
  <c r="C50" i="12"/>
  <c r="B50" i="12"/>
  <c r="A50" i="12"/>
  <c r="G49" i="12"/>
  <c r="F49" i="12"/>
  <c r="E49" i="12"/>
  <c r="D49" i="12"/>
  <c r="C49" i="12"/>
  <c r="B49" i="12"/>
  <c r="A49" i="12"/>
  <c r="G48" i="12"/>
  <c r="F48" i="12"/>
  <c r="E48" i="12"/>
  <c r="D48" i="12"/>
  <c r="C48" i="12"/>
  <c r="B48" i="12"/>
  <c r="A48" i="12"/>
  <c r="G47" i="12"/>
  <c r="F47" i="12"/>
  <c r="E47" i="12"/>
  <c r="D47" i="12"/>
  <c r="C47" i="12"/>
  <c r="B47" i="12"/>
  <c r="A47" i="12"/>
  <c r="G46" i="12"/>
  <c r="F46" i="12"/>
  <c r="E46" i="12"/>
  <c r="D46" i="12"/>
  <c r="C46" i="12"/>
  <c r="B46" i="12"/>
  <c r="A46" i="12"/>
  <c r="G45" i="12"/>
  <c r="F45" i="12"/>
  <c r="E45" i="12"/>
  <c r="D45" i="12"/>
  <c r="C45" i="12"/>
  <c r="B45" i="12"/>
  <c r="A45" i="12"/>
  <c r="G44" i="12"/>
  <c r="F44" i="12"/>
  <c r="E44" i="12"/>
  <c r="D44" i="12"/>
  <c r="C44" i="12"/>
  <c r="B44" i="12"/>
  <c r="A44" i="12"/>
  <c r="G43" i="12"/>
  <c r="F43" i="12"/>
  <c r="E43" i="12"/>
  <c r="D43" i="12"/>
  <c r="C43" i="12"/>
  <c r="B43" i="12"/>
  <c r="A43" i="12"/>
  <c r="G42" i="12"/>
  <c r="F42" i="12"/>
  <c r="E42" i="12"/>
  <c r="D42" i="12"/>
  <c r="C42" i="12"/>
  <c r="B42" i="12"/>
  <c r="A42" i="12"/>
  <c r="G41" i="12"/>
  <c r="F41" i="12"/>
  <c r="E41" i="12"/>
  <c r="D41" i="12"/>
  <c r="C41" i="12"/>
  <c r="B41" i="12"/>
  <c r="A41" i="12"/>
  <c r="G40" i="12"/>
  <c r="F40" i="12"/>
  <c r="E40" i="12"/>
  <c r="D40" i="12"/>
  <c r="C40" i="12"/>
  <c r="B40" i="12"/>
  <c r="A40" i="12"/>
  <c r="G39" i="12"/>
  <c r="F39" i="12"/>
  <c r="E39" i="12"/>
  <c r="D39" i="12"/>
  <c r="C39" i="12"/>
  <c r="B39" i="12"/>
  <c r="A39" i="12"/>
  <c r="G38" i="12"/>
  <c r="F38" i="12"/>
  <c r="E38" i="12"/>
  <c r="D38" i="12"/>
  <c r="C38" i="12"/>
  <c r="B38" i="12"/>
  <c r="A38" i="12"/>
  <c r="G37" i="12"/>
  <c r="F37" i="12"/>
  <c r="E37" i="12"/>
  <c r="D37" i="12"/>
  <c r="C37" i="12"/>
  <c r="B37" i="12"/>
  <c r="A37" i="12"/>
  <c r="G36" i="12"/>
  <c r="F36" i="12"/>
  <c r="E36" i="12"/>
  <c r="D36" i="12"/>
  <c r="C36" i="12"/>
  <c r="B36" i="12"/>
  <c r="A36" i="12"/>
  <c r="G35" i="12"/>
  <c r="F35" i="12"/>
  <c r="E35" i="12"/>
  <c r="D35" i="12"/>
  <c r="C35" i="12"/>
  <c r="B35" i="12"/>
  <c r="A35" i="12"/>
  <c r="G34" i="12"/>
  <c r="F34" i="12"/>
  <c r="E34" i="12"/>
  <c r="D34" i="12"/>
  <c r="C34" i="12"/>
  <c r="B34" i="12"/>
  <c r="A34" i="12"/>
  <c r="G33" i="12"/>
  <c r="F33" i="12"/>
  <c r="E33" i="12"/>
  <c r="D33" i="12"/>
  <c r="C33" i="12"/>
  <c r="B33" i="12"/>
  <c r="A33" i="12"/>
  <c r="G32" i="12"/>
  <c r="F32" i="12"/>
  <c r="E32" i="12"/>
  <c r="D32" i="12"/>
  <c r="C32" i="12"/>
  <c r="B32" i="12"/>
  <c r="A32" i="12"/>
  <c r="G31" i="12"/>
  <c r="F31" i="12"/>
  <c r="E31" i="12"/>
  <c r="D31" i="12"/>
  <c r="C31" i="12"/>
  <c r="B31" i="12"/>
  <c r="A31" i="12"/>
  <c r="G30" i="12"/>
  <c r="F30" i="12"/>
  <c r="E30" i="12"/>
  <c r="D30" i="12"/>
  <c r="C30" i="12"/>
  <c r="B30" i="12"/>
  <c r="A30" i="12"/>
  <c r="G29" i="12"/>
  <c r="F29" i="12"/>
  <c r="E29" i="12"/>
  <c r="D29" i="12"/>
  <c r="C29" i="12"/>
  <c r="B29" i="12"/>
  <c r="A29" i="12"/>
  <c r="G28" i="12"/>
  <c r="F28" i="12"/>
  <c r="E28" i="12"/>
  <c r="D28" i="12"/>
  <c r="C28" i="12"/>
  <c r="B28" i="12"/>
  <c r="A28" i="12"/>
  <c r="G27" i="12"/>
  <c r="F27" i="12"/>
  <c r="E27" i="12"/>
  <c r="D27" i="12"/>
  <c r="C27" i="12"/>
  <c r="B27" i="12"/>
  <c r="A27" i="12"/>
  <c r="G26" i="12"/>
  <c r="F26" i="12"/>
  <c r="E26" i="12"/>
  <c r="D26" i="12"/>
  <c r="C26" i="12"/>
  <c r="B26" i="12"/>
  <c r="A26" i="12"/>
  <c r="G25" i="12"/>
  <c r="F25" i="12"/>
  <c r="E25" i="12"/>
  <c r="D25" i="12"/>
  <c r="C25" i="12"/>
  <c r="B25" i="12"/>
  <c r="A25" i="12"/>
  <c r="G24" i="12"/>
  <c r="F24" i="12"/>
  <c r="E24" i="12"/>
  <c r="D24" i="12"/>
  <c r="C24" i="12"/>
  <c r="B24" i="12"/>
  <c r="A24" i="12"/>
  <c r="G23" i="12"/>
  <c r="F23" i="12"/>
  <c r="E23" i="12"/>
  <c r="D23" i="12"/>
  <c r="C23" i="12"/>
  <c r="B23" i="12"/>
  <c r="A23" i="12"/>
  <c r="G22" i="12"/>
  <c r="F22" i="12"/>
  <c r="E22" i="12"/>
  <c r="D22" i="12"/>
  <c r="C22" i="12"/>
  <c r="B22" i="12"/>
  <c r="A22" i="12"/>
  <c r="G21" i="12"/>
  <c r="F21" i="12"/>
  <c r="E21" i="12"/>
  <c r="D21" i="12"/>
  <c r="C21" i="12"/>
  <c r="B21" i="12"/>
  <c r="A21" i="12"/>
  <c r="G20" i="12"/>
  <c r="F20" i="12"/>
  <c r="E20" i="12"/>
  <c r="D20" i="12"/>
  <c r="C20" i="12"/>
  <c r="B20" i="12"/>
  <c r="A20" i="12"/>
  <c r="G19" i="12"/>
  <c r="F19" i="12"/>
  <c r="E19" i="12"/>
  <c r="D19" i="12"/>
  <c r="C19" i="12"/>
  <c r="B19" i="12"/>
  <c r="A19" i="12"/>
  <c r="G18" i="12"/>
  <c r="F18" i="12"/>
  <c r="E18" i="12"/>
  <c r="D18" i="12"/>
  <c r="C18" i="12"/>
  <c r="B18" i="12"/>
  <c r="A18" i="12"/>
  <c r="G17" i="12"/>
  <c r="F17" i="12"/>
  <c r="E17" i="12"/>
  <c r="D17" i="12"/>
  <c r="C17" i="12"/>
  <c r="B17" i="12"/>
  <c r="A17" i="12"/>
  <c r="G16" i="12"/>
  <c r="F16" i="12"/>
  <c r="E16" i="12"/>
  <c r="D16" i="12"/>
  <c r="C16" i="12"/>
  <c r="B16" i="12"/>
  <c r="A16" i="12"/>
  <c r="G15" i="12"/>
  <c r="F15" i="12"/>
  <c r="E15" i="12"/>
  <c r="D15" i="12"/>
  <c r="C15" i="12"/>
  <c r="B15" i="12"/>
  <c r="A15" i="12"/>
  <c r="G14" i="12"/>
  <c r="F14" i="12"/>
  <c r="E14" i="12"/>
  <c r="D14" i="12"/>
  <c r="C14" i="12"/>
  <c r="B14" i="12"/>
  <c r="A14" i="12"/>
  <c r="G13" i="12"/>
  <c r="F13" i="12"/>
  <c r="E13" i="12"/>
  <c r="D13" i="12"/>
  <c r="C13" i="12"/>
  <c r="B13" i="12"/>
  <c r="A13" i="12"/>
  <c r="G12" i="12"/>
  <c r="F12" i="12"/>
  <c r="E12" i="12"/>
  <c r="D12" i="12"/>
  <c r="C12" i="12"/>
  <c r="B12" i="12"/>
  <c r="A12" i="12"/>
  <c r="G11" i="12"/>
  <c r="F11" i="12"/>
  <c r="E11" i="12"/>
  <c r="D11" i="12"/>
  <c r="C11" i="12"/>
  <c r="B11" i="12"/>
  <c r="A11" i="12"/>
  <c r="G10" i="12"/>
  <c r="F10" i="12"/>
  <c r="E10" i="12"/>
  <c r="D10" i="12"/>
  <c r="C10" i="12"/>
  <c r="B10" i="12"/>
  <c r="A10" i="12"/>
  <c r="G9" i="12"/>
  <c r="F9" i="12"/>
  <c r="E9" i="12"/>
  <c r="D9" i="12"/>
  <c r="C9" i="12"/>
  <c r="B9" i="12"/>
  <c r="A9" i="12"/>
  <c r="G8" i="12"/>
  <c r="F8" i="12"/>
  <c r="E8" i="12"/>
  <c r="D8" i="12"/>
  <c r="C8" i="12"/>
  <c r="B8" i="12"/>
  <c r="A8" i="12"/>
  <c r="G7" i="12"/>
  <c r="F7" i="12"/>
  <c r="E7" i="12"/>
  <c r="D7" i="12"/>
  <c r="C7" i="12"/>
  <c r="B7" i="12"/>
  <c r="A7" i="12"/>
  <c r="G6" i="12"/>
  <c r="F6" i="12"/>
  <c r="E6" i="12"/>
  <c r="D6" i="12"/>
  <c r="C6" i="12"/>
  <c r="B6" i="12"/>
  <c r="A6" i="12"/>
  <c r="L5" i="12" a="1"/>
  <c r="L2468" i="12" s="1"/>
  <c r="G5" i="12"/>
  <c r="F5" i="12"/>
  <c r="E5" i="12"/>
  <c r="D5" i="12"/>
  <c r="C5" i="12"/>
  <c r="B5" i="12"/>
  <c r="A5" i="12"/>
  <c r="G4" i="12"/>
  <c r="F4" i="12"/>
  <c r="E4" i="12"/>
  <c r="D4" i="12"/>
  <c r="C4" i="12"/>
  <c r="B4" i="12"/>
  <c r="A4" i="12"/>
  <c r="G11" i="11"/>
  <c r="E11" i="11"/>
  <c r="C11" i="11"/>
  <c r="G10" i="11"/>
  <c r="C10" i="11"/>
  <c r="E10" i="11" s="1"/>
  <c r="G9" i="11"/>
  <c r="C9" i="11"/>
  <c r="E9" i="11" s="1"/>
  <c r="G8" i="11"/>
  <c r="C8" i="11"/>
  <c r="E8" i="11" s="1"/>
  <c r="G7" i="11"/>
  <c r="C7" i="11"/>
  <c r="E7" i="11" s="1"/>
  <c r="G6" i="11"/>
  <c r="C6" i="11"/>
  <c r="G5" i="11"/>
  <c r="C5" i="11"/>
  <c r="E5" i="11" s="1"/>
  <c r="G4" i="11"/>
  <c r="C4" i="11"/>
  <c r="E4" i="11" s="1"/>
  <c r="E3" i="11"/>
  <c r="B4" i="11" l="1" a="1"/>
  <c r="B6" i="11" s="1"/>
  <c r="L14" i="12"/>
  <c r="L28" i="12"/>
  <c r="L42" i="12"/>
  <c r="L56" i="12"/>
  <c r="L71" i="12"/>
  <c r="L86" i="12"/>
  <c r="L100" i="12"/>
  <c r="L114" i="12"/>
  <c r="L128" i="12"/>
  <c r="L143" i="12"/>
  <c r="L162" i="12"/>
  <c r="L182" i="12"/>
  <c r="L203" i="12"/>
  <c r="L225" i="12"/>
  <c r="L249" i="12"/>
  <c r="L273" i="12"/>
  <c r="L299" i="12"/>
  <c r="L326" i="12"/>
  <c r="L353" i="12"/>
  <c r="L380" i="12"/>
  <c r="L406" i="12"/>
  <c r="L434" i="12"/>
  <c r="L463" i="12"/>
  <c r="L493" i="12"/>
  <c r="L521" i="12"/>
  <c r="L551" i="12"/>
  <c r="L582" i="12"/>
  <c r="L613" i="12"/>
  <c r="L646" i="12"/>
  <c r="L678" i="12"/>
  <c r="L710" i="12"/>
  <c r="L745" i="12"/>
  <c r="L776" i="12"/>
  <c r="L809" i="12"/>
  <c r="L843" i="12"/>
  <c r="L877" i="12"/>
  <c r="L908" i="12"/>
  <c r="L955" i="12"/>
  <c r="L1001" i="12"/>
  <c r="L1046" i="12"/>
  <c r="L1098" i="12"/>
  <c r="L1150" i="12"/>
  <c r="L1202" i="12"/>
  <c r="L1253" i="12"/>
  <c r="L1310" i="12"/>
  <c r="L1367" i="12"/>
  <c r="L1429" i="12"/>
  <c r="L1495" i="12"/>
  <c r="L1579" i="12"/>
  <c r="L1666" i="12"/>
  <c r="L1750" i="12"/>
  <c r="L1844" i="12"/>
  <c r="L1941" i="12"/>
  <c r="L2036" i="12"/>
  <c r="L2133" i="12"/>
  <c r="L2228" i="12"/>
  <c r="L2329" i="12"/>
  <c r="L2437" i="12"/>
  <c r="L15" i="12"/>
  <c r="L29" i="12"/>
  <c r="L43" i="12"/>
  <c r="L57" i="12"/>
  <c r="L72" i="12"/>
  <c r="L87" i="12"/>
  <c r="L101" i="12"/>
  <c r="L115" i="12"/>
  <c r="L129" i="12"/>
  <c r="L146" i="12"/>
  <c r="L163" i="12"/>
  <c r="L183" i="12"/>
  <c r="L206" i="12"/>
  <c r="L226" i="12"/>
  <c r="L251" i="12"/>
  <c r="L274" i="12"/>
  <c r="L302" i="12"/>
  <c r="L328" i="12"/>
  <c r="L355" i="12"/>
  <c r="L382" i="12"/>
  <c r="L409" i="12"/>
  <c r="L435" i="12"/>
  <c r="L464" i="12"/>
  <c r="L496" i="12"/>
  <c r="L524" i="12"/>
  <c r="L555" i="12"/>
  <c r="L586" i="12"/>
  <c r="L616" i="12"/>
  <c r="L647" i="12"/>
  <c r="L679" i="12"/>
  <c r="L715" i="12"/>
  <c r="L747" i="12"/>
  <c r="L779" i="12"/>
  <c r="L814" i="12"/>
  <c r="L846" i="12"/>
  <c r="L878" i="12"/>
  <c r="L910" i="12"/>
  <c r="L956" i="12"/>
  <c r="L1004" i="12"/>
  <c r="L1048" i="12"/>
  <c r="L1099" i="12"/>
  <c r="L1151" i="12"/>
  <c r="L1203" i="12"/>
  <c r="L1254" i="12"/>
  <c r="L1311" i="12"/>
  <c r="L1369" i="12"/>
  <c r="L1430" i="12"/>
  <c r="L1496" i="12"/>
  <c r="L1580" i="12"/>
  <c r="L1669" i="12"/>
  <c r="L1753" i="12"/>
  <c r="L1845" i="12"/>
  <c r="L1942" i="12"/>
  <c r="L2037" i="12"/>
  <c r="L2134" i="12"/>
  <c r="L2229" i="12"/>
  <c r="L2332" i="12"/>
  <c r="L2438" i="12"/>
  <c r="L16" i="12"/>
  <c r="L30" i="12"/>
  <c r="L44" i="12"/>
  <c r="L59" i="12"/>
  <c r="L74" i="12"/>
  <c r="L88" i="12"/>
  <c r="L102" i="12"/>
  <c r="L116" i="12"/>
  <c r="L131" i="12"/>
  <c r="L147" i="12"/>
  <c r="L164" i="12"/>
  <c r="L185" i="12"/>
  <c r="L207" i="12"/>
  <c r="L230" i="12"/>
  <c r="L253" i="12"/>
  <c r="L277" i="12"/>
  <c r="L304" i="12"/>
  <c r="L330" i="12"/>
  <c r="L356" i="12"/>
  <c r="L383" i="12"/>
  <c r="L412" i="12"/>
  <c r="L438" i="12"/>
  <c r="L469" i="12"/>
  <c r="L499" i="12"/>
  <c r="L529" i="12"/>
  <c r="L557" i="12"/>
  <c r="L587" i="12"/>
  <c r="L618" i="12"/>
  <c r="L650" i="12"/>
  <c r="L685" i="12"/>
  <c r="L718" i="12"/>
  <c r="L749" i="12"/>
  <c r="L781" i="12"/>
  <c r="L817" i="12"/>
  <c r="L848" i="12"/>
  <c r="L880" i="12"/>
  <c r="L915" i="12"/>
  <c r="L959" i="12"/>
  <c r="L1007" i="12"/>
  <c r="L1052" i="12"/>
  <c r="L1106" i="12"/>
  <c r="L1157" i="12"/>
  <c r="L1208" i="12"/>
  <c r="L1261" i="12"/>
  <c r="L1318" i="12"/>
  <c r="L1375" i="12"/>
  <c r="L1436" i="12"/>
  <c r="L1508" i="12"/>
  <c r="L1592" i="12"/>
  <c r="L1676" i="12"/>
  <c r="L1765" i="12"/>
  <c r="L1858" i="12"/>
  <c r="L1952" i="12"/>
  <c r="L2050" i="12"/>
  <c r="L2144" i="12"/>
  <c r="L2242" i="12"/>
  <c r="L2342" i="12"/>
  <c r="L2453" i="12"/>
  <c r="L17" i="12"/>
  <c r="L31" i="12"/>
  <c r="L45" i="12"/>
  <c r="L60" i="12"/>
  <c r="L75" i="12"/>
  <c r="L89" i="12"/>
  <c r="L103" i="12"/>
  <c r="L117" i="12"/>
  <c r="L132" i="12"/>
  <c r="L148" i="12"/>
  <c r="L167" i="12"/>
  <c r="L186" i="12"/>
  <c r="L208" i="12"/>
  <c r="L232" i="12"/>
  <c r="L255" i="12"/>
  <c r="L278" i="12"/>
  <c r="L305" i="12"/>
  <c r="L333" i="12"/>
  <c r="L359" i="12"/>
  <c r="L387" i="12"/>
  <c r="L415" i="12"/>
  <c r="L442" i="12"/>
  <c r="L471" i="12"/>
  <c r="L500" i="12"/>
  <c r="L531" i="12"/>
  <c r="L559" i="12"/>
  <c r="L590" i="12"/>
  <c r="L620" i="12"/>
  <c r="L652" i="12"/>
  <c r="L687" i="12"/>
  <c r="L719" i="12"/>
  <c r="L751" i="12"/>
  <c r="L785" i="12"/>
  <c r="L819" i="12"/>
  <c r="L851" i="12"/>
  <c r="L882" i="12"/>
  <c r="L918" i="12"/>
  <c r="L962" i="12"/>
  <c r="L1009" i="12"/>
  <c r="L1057" i="12"/>
  <c r="L1108" i="12"/>
  <c r="L1159" i="12"/>
  <c r="L1211" i="12"/>
  <c r="L1264" i="12"/>
  <c r="L1322" i="12"/>
  <c r="L1379" i="12"/>
  <c r="L1442" i="12"/>
  <c r="L1513" i="12"/>
  <c r="L1597" i="12"/>
  <c r="L1685" i="12"/>
  <c r="L1769" i="12"/>
  <c r="L1862" i="12"/>
  <c r="L1961" i="12"/>
  <c r="L2054" i="12"/>
  <c r="L2153" i="12"/>
  <c r="L2246" i="12"/>
  <c r="L2353" i="12"/>
  <c r="L2455" i="12"/>
  <c r="L5" i="12"/>
  <c r="L18" i="12"/>
  <c r="L32" i="12"/>
  <c r="L47" i="12"/>
  <c r="L62" i="12"/>
  <c r="L76" i="12"/>
  <c r="L90" i="12"/>
  <c r="L104" i="12"/>
  <c r="L119" i="12"/>
  <c r="L134" i="12"/>
  <c r="L149" i="12"/>
  <c r="L168" i="12"/>
  <c r="L188" i="12"/>
  <c r="L210" i="12"/>
  <c r="L234" i="12"/>
  <c r="L258" i="12"/>
  <c r="L281" i="12"/>
  <c r="L308" i="12"/>
  <c r="L337" i="12"/>
  <c r="L363" i="12"/>
  <c r="L389" i="12"/>
  <c r="L416" i="12"/>
  <c r="L445" i="12"/>
  <c r="L473" i="12"/>
  <c r="L503" i="12"/>
  <c r="L533" i="12"/>
  <c r="L562" i="12"/>
  <c r="L591" i="12"/>
  <c r="L622" i="12"/>
  <c r="L658" i="12"/>
  <c r="L689" i="12"/>
  <c r="L722" i="12"/>
  <c r="L757" i="12"/>
  <c r="L788" i="12"/>
  <c r="L820" i="12"/>
  <c r="L853" i="12"/>
  <c r="L889" i="12"/>
  <c r="L920" i="12"/>
  <c r="L966" i="12"/>
  <c r="L1012" i="12"/>
  <c r="L1060" i="12"/>
  <c r="L1112" i="12"/>
  <c r="L1165" i="12"/>
  <c r="L1216" i="12"/>
  <c r="L1267" i="12"/>
  <c r="L1325" i="12"/>
  <c r="L1383" i="12"/>
  <c r="L1445" i="12"/>
  <c r="L1517" i="12"/>
  <c r="L1604" i="12"/>
  <c r="L1688" i="12"/>
  <c r="L1772" i="12"/>
  <c r="L1873" i="12"/>
  <c r="L1964" i="12"/>
  <c r="L2065" i="12"/>
  <c r="L2156" i="12"/>
  <c r="L2257" i="12"/>
  <c r="L2358" i="12"/>
  <c r="L2499" i="12"/>
  <c r="L2487" i="12"/>
  <c r="L2475" i="12"/>
  <c r="L2463" i="12"/>
  <c r="L2451" i="12"/>
  <c r="L2439" i="12"/>
  <c r="L2427" i="12"/>
  <c r="L2415" i="12"/>
  <c r="L2403" i="12"/>
  <c r="L2391" i="12"/>
  <c r="L2379" i="12"/>
  <c r="L2367" i="12"/>
  <c r="L2355" i="12"/>
  <c r="L2343" i="12"/>
  <c r="L2331" i="12"/>
  <c r="L2319" i="12"/>
  <c r="L2307" i="12"/>
  <c r="L2295" i="12"/>
  <c r="L2283" i="12"/>
  <c r="L2271" i="12"/>
  <c r="L2259" i="12"/>
  <c r="L2247" i="12"/>
  <c r="L2235" i="12"/>
  <c r="L2223" i="12"/>
  <c r="L2211" i="12"/>
  <c r="L2199" i="12"/>
  <c r="L2187" i="12"/>
  <c r="L2175" i="12"/>
  <c r="L2163" i="12"/>
  <c r="L2151" i="12"/>
  <c r="L2139" i="12"/>
  <c r="L2127" i="12"/>
  <c r="L2115" i="12"/>
  <c r="L2103" i="12"/>
  <c r="L2091" i="12"/>
  <c r="L2079" i="12"/>
  <c r="L2067" i="12"/>
  <c r="L2055" i="12"/>
  <c r="L2043" i="12"/>
  <c r="L2031" i="12"/>
  <c r="L2019" i="12"/>
  <c r="L2007" i="12"/>
  <c r="L1995" i="12"/>
  <c r="L1983" i="12"/>
  <c r="L1971" i="12"/>
  <c r="L1959" i="12"/>
  <c r="L1947" i="12"/>
  <c r="L1935" i="12"/>
  <c r="L1923" i="12"/>
  <c r="L1911" i="12"/>
  <c r="L1899" i="12"/>
  <c r="L1887" i="12"/>
  <c r="L1875" i="12"/>
  <c r="L1863" i="12"/>
  <c r="L1851" i="12"/>
  <c r="L1839" i="12"/>
  <c r="L1827" i="12"/>
  <c r="L1815" i="12"/>
  <c r="L1803" i="12"/>
  <c r="L1791" i="12"/>
  <c r="L1779" i="12"/>
  <c r="L1767" i="12"/>
  <c r="L1755" i="12"/>
  <c r="L1743" i="12"/>
  <c r="L1731" i="12"/>
  <c r="L1719" i="12"/>
  <c r="L1707" i="12"/>
  <c r="L1695" i="12"/>
  <c r="L1683" i="12"/>
  <c r="L1671" i="12"/>
  <c r="L1659" i="12"/>
  <c r="L1647" i="12"/>
  <c r="L1635" i="12"/>
  <c r="L1623" i="12"/>
  <c r="L1611" i="12"/>
  <c r="L1599" i="12"/>
  <c r="L1587" i="12"/>
  <c r="L1575" i="12"/>
  <c r="L1563" i="12"/>
  <c r="L1551" i="12"/>
  <c r="L1539" i="12"/>
  <c r="L1527" i="12"/>
  <c r="L1515" i="12"/>
  <c r="L1503" i="12"/>
  <c r="L1491" i="12"/>
  <c r="L2496" i="12"/>
  <c r="L2484" i="12"/>
  <c r="L2472" i="12"/>
  <c r="L2460" i="12"/>
  <c r="L2448" i="12"/>
  <c r="L2436" i="12"/>
  <c r="L2424" i="12"/>
  <c r="L2412" i="12"/>
  <c r="L2400" i="12"/>
  <c r="L2388" i="12"/>
  <c r="L2376" i="12"/>
  <c r="L2364" i="12"/>
  <c r="L2352" i="12"/>
  <c r="L2340" i="12"/>
  <c r="L2328" i="12"/>
  <c r="L2316" i="12"/>
  <c r="L2304" i="12"/>
  <c r="L2292" i="12"/>
  <c r="L2280" i="12"/>
  <c r="L2268" i="12"/>
  <c r="L2256" i="12"/>
  <c r="L2244" i="12"/>
  <c r="L2232" i="12"/>
  <c r="L2220" i="12"/>
  <c r="L2208" i="12"/>
  <c r="L2196" i="12"/>
  <c r="L2184" i="12"/>
  <c r="L2172" i="12"/>
  <c r="L2160" i="12"/>
  <c r="L2148" i="12"/>
  <c r="L2136" i="12"/>
  <c r="L2124" i="12"/>
  <c r="L2112" i="12"/>
  <c r="L2100" i="12"/>
  <c r="L2088" i="12"/>
  <c r="L2076" i="12"/>
  <c r="L2064" i="12"/>
  <c r="L2052" i="12"/>
  <c r="L2040" i="12"/>
  <c r="L2028" i="12"/>
  <c r="L2016" i="12"/>
  <c r="L2004" i="12"/>
  <c r="L1992" i="12"/>
  <c r="L1980" i="12"/>
  <c r="L1968" i="12"/>
  <c r="L1956" i="12"/>
  <c r="L1944" i="12"/>
  <c r="L1932" i="12"/>
  <c r="L1920" i="12"/>
  <c r="L1908" i="12"/>
  <c r="L1896" i="12"/>
  <c r="L1884" i="12"/>
  <c r="L1872" i="12"/>
  <c r="L1860" i="12"/>
  <c r="L1848" i="12"/>
  <c r="L1836" i="12"/>
  <c r="L1824" i="12"/>
  <c r="L1812" i="12"/>
  <c r="L1800" i="12"/>
  <c r="L1788" i="12"/>
  <c r="L1776" i="12"/>
  <c r="L1764" i="12"/>
  <c r="L1752" i="12"/>
  <c r="L1740" i="12"/>
  <c r="L1728" i="12"/>
  <c r="L1716" i="12"/>
  <c r="L1704" i="12"/>
  <c r="L1692" i="12"/>
  <c r="L1680" i="12"/>
  <c r="L1668" i="12"/>
  <c r="L1656" i="12"/>
  <c r="L1644" i="12"/>
  <c r="L1632" i="12"/>
  <c r="L1620" i="12"/>
  <c r="L1608" i="12"/>
  <c r="L1596" i="12"/>
  <c r="L1584" i="12"/>
  <c r="L1572" i="12"/>
  <c r="L1560" i="12"/>
  <c r="L1548" i="12"/>
  <c r="L1536" i="12"/>
  <c r="L1524" i="12"/>
  <c r="L1512" i="12"/>
  <c r="L1500" i="12"/>
  <c r="L1488" i="12"/>
  <c r="L2495" i="12"/>
  <c r="L2483" i="12"/>
  <c r="L2471" i="12"/>
  <c r="L2459" i="12"/>
  <c r="L2447" i="12"/>
  <c r="L2435" i="12"/>
  <c r="L2423" i="12"/>
  <c r="L2411" i="12"/>
  <c r="L2399" i="12"/>
  <c r="L2387" i="12"/>
  <c r="L2375" i="12"/>
  <c r="L2363" i="12"/>
  <c r="L2351" i="12"/>
  <c r="L2339" i="12"/>
  <c r="L2327" i="12"/>
  <c r="L2315" i="12"/>
  <c r="L2303" i="12"/>
  <c r="L2291" i="12"/>
  <c r="L2279" i="12"/>
  <c r="L2267" i="12"/>
  <c r="L2255" i="12"/>
  <c r="L2243" i="12"/>
  <c r="L2231" i="12"/>
  <c r="L2219" i="12"/>
  <c r="L2207" i="12"/>
  <c r="L2195" i="12"/>
  <c r="L2183" i="12"/>
  <c r="L2171" i="12"/>
  <c r="L2159" i="12"/>
  <c r="L2147" i="12"/>
  <c r="L2135" i="12"/>
  <c r="L2123" i="12"/>
  <c r="L2111" i="12"/>
  <c r="L2099" i="12"/>
  <c r="L2087" i="12"/>
  <c r="L2075" i="12"/>
  <c r="L2063" i="12"/>
  <c r="L2051" i="12"/>
  <c r="L2039" i="12"/>
  <c r="L2027" i="12"/>
  <c r="L2015" i="12"/>
  <c r="L2003" i="12"/>
  <c r="L1991" i="12"/>
  <c r="L1979" i="12"/>
  <c r="L1967" i="12"/>
  <c r="L1955" i="12"/>
  <c r="L1943" i="12"/>
  <c r="L1931" i="12"/>
  <c r="L1919" i="12"/>
  <c r="L1907" i="12"/>
  <c r="L1895" i="12"/>
  <c r="L1883" i="12"/>
  <c r="L1871" i="12"/>
  <c r="L1859" i="12"/>
  <c r="L1847" i="12"/>
  <c r="L1835" i="12"/>
  <c r="L1823" i="12"/>
  <c r="L1811" i="12"/>
  <c r="L1799" i="12"/>
  <c r="L1787" i="12"/>
  <c r="L1775" i="12"/>
  <c r="L1763" i="12"/>
  <c r="L1751" i="12"/>
  <c r="L1739" i="12"/>
  <c r="L1727" i="12"/>
  <c r="L1715" i="12"/>
  <c r="L1703" i="12"/>
  <c r="L1691" i="12"/>
  <c r="L1679" i="12"/>
  <c r="L1667" i="12"/>
  <c r="L1655" i="12"/>
  <c r="L1643" i="12"/>
  <c r="L1631" i="12"/>
  <c r="L1619" i="12"/>
  <c r="L1607" i="12"/>
  <c r="L1595" i="12"/>
  <c r="L1583" i="12"/>
  <c r="L1571" i="12"/>
  <c r="L1559" i="12"/>
  <c r="L1547" i="12"/>
  <c r="L1535" i="12"/>
  <c r="L1523" i="12"/>
  <c r="L1511" i="12"/>
  <c r="L1499" i="12"/>
  <c r="L1487" i="12"/>
  <c r="L2490" i="12"/>
  <c r="L2474" i="12"/>
  <c r="L2457" i="12"/>
  <c r="L2442" i="12"/>
  <c r="L2426" i="12"/>
  <c r="L2409" i="12"/>
  <c r="L2394" i="12"/>
  <c r="L2378" i="12"/>
  <c r="L2361" i="12"/>
  <c r="L2346" i="12"/>
  <c r="L2330" i="12"/>
  <c r="L2313" i="12"/>
  <c r="L2298" i="12"/>
  <c r="L2486" i="12"/>
  <c r="L2498" i="12"/>
  <c r="L2481" i="12"/>
  <c r="L2466" i="12"/>
  <c r="L2450" i="12"/>
  <c r="L2433" i="12"/>
  <c r="L2418" i="12"/>
  <c r="L2402" i="12"/>
  <c r="L2385" i="12"/>
  <c r="L2370" i="12"/>
  <c r="L2354" i="12"/>
  <c r="L2337" i="12"/>
  <c r="L2322" i="12"/>
  <c r="L2306" i="12"/>
  <c r="L2289" i="12"/>
  <c r="L2274" i="12"/>
  <c r="L2258" i="12"/>
  <c r="L2241" i="12"/>
  <c r="L2226" i="12"/>
  <c r="L2210" i="12"/>
  <c r="L2193" i="12"/>
  <c r="L2178" i="12"/>
  <c r="L2162" i="12"/>
  <c r="L2145" i="12"/>
  <c r="L2130" i="12"/>
  <c r="L2114" i="12"/>
  <c r="L2097" i="12"/>
  <c r="L2082" i="12"/>
  <c r="L2066" i="12"/>
  <c r="L2049" i="12"/>
  <c r="L2034" i="12"/>
  <c r="L2018" i="12"/>
  <c r="L2001" i="12"/>
  <c r="L1986" i="12"/>
  <c r="L1970" i="12"/>
  <c r="L1953" i="12"/>
  <c r="L1938" i="12"/>
  <c r="L1922" i="12"/>
  <c r="L1905" i="12"/>
  <c r="L1890" i="12"/>
  <c r="L1874" i="12"/>
  <c r="L1857" i="12"/>
  <c r="L1842" i="12"/>
  <c r="L1826" i="12"/>
  <c r="L1809" i="12"/>
  <c r="L1794" i="12"/>
  <c r="L1778" i="12"/>
  <c r="L1761" i="12"/>
  <c r="L1746" i="12"/>
  <c r="L1730" i="12"/>
  <c r="L1713" i="12"/>
  <c r="L1698" i="12"/>
  <c r="L1682" i="12"/>
  <c r="L1665" i="12"/>
  <c r="L1650" i="12"/>
  <c r="L1634" i="12"/>
  <c r="L1617" i="12"/>
  <c r="L1602" i="12"/>
  <c r="L1586" i="12"/>
  <c r="L1569" i="12"/>
  <c r="L1554" i="12"/>
  <c r="L1538" i="12"/>
  <c r="L1521" i="12"/>
  <c r="L1506" i="12"/>
  <c r="L1490" i="12"/>
  <c r="L1476" i="12"/>
  <c r="L1464" i="12"/>
  <c r="L1452" i="12"/>
  <c r="L1440" i="12"/>
  <c r="L1428" i="12"/>
  <c r="L1416" i="12"/>
  <c r="L1404" i="12"/>
  <c r="L1392" i="12"/>
  <c r="L1380" i="12"/>
  <c r="L1368" i="12"/>
  <c r="L1356" i="12"/>
  <c r="L1344" i="12"/>
  <c r="L1332" i="12"/>
  <c r="L1320" i="12"/>
  <c r="L1308" i="12"/>
  <c r="L1296" i="12"/>
  <c r="L1284" i="12"/>
  <c r="L1272" i="12"/>
  <c r="L1260" i="12"/>
  <c r="L1248" i="12"/>
  <c r="L1236" i="12"/>
  <c r="L1224" i="12"/>
  <c r="L1212" i="12"/>
  <c r="L1200" i="12"/>
  <c r="L1188" i="12"/>
  <c r="L1176" i="12"/>
  <c r="L1164" i="12"/>
  <c r="L1152" i="12"/>
  <c r="L1140" i="12"/>
  <c r="L1128" i="12"/>
  <c r="L1116" i="12"/>
  <c r="L1104" i="12"/>
  <c r="L1092" i="12"/>
  <c r="L1080" i="12"/>
  <c r="L1068" i="12"/>
  <c r="L1056" i="12"/>
  <c r="L1044" i="12"/>
  <c r="L1032" i="12"/>
  <c r="L1020" i="12"/>
  <c r="L1008" i="12"/>
  <c r="L996" i="12"/>
  <c r="L984" i="12"/>
  <c r="L972" i="12"/>
  <c r="L960" i="12"/>
  <c r="L948" i="12"/>
  <c r="L936" i="12"/>
  <c r="L924" i="12"/>
  <c r="L912" i="12"/>
  <c r="L900" i="12"/>
  <c r="L888" i="12"/>
  <c r="L876" i="12"/>
  <c r="L864" i="12"/>
  <c r="L852" i="12"/>
  <c r="L840" i="12"/>
  <c r="L828" i="12"/>
  <c r="L816" i="12"/>
  <c r="L804" i="12"/>
  <c r="L792" i="12"/>
  <c r="L780" i="12"/>
  <c r="L768" i="12"/>
  <c r="L756" i="12"/>
  <c r="L744" i="12"/>
  <c r="L732" i="12"/>
  <c r="L720" i="12"/>
  <c r="L708" i="12"/>
  <c r="L696" i="12"/>
  <c r="L684" i="12"/>
  <c r="L672" i="12"/>
  <c r="L660" i="12"/>
  <c r="L648" i="12"/>
  <c r="L636" i="12"/>
  <c r="L624" i="12"/>
  <c r="L612" i="12"/>
  <c r="L600" i="12"/>
  <c r="L588" i="12"/>
  <c r="L576" i="12"/>
  <c r="L564" i="12"/>
  <c r="L552" i="12"/>
  <c r="L540" i="12"/>
  <c r="L528" i="12"/>
  <c r="L516" i="12"/>
  <c r="L504" i="12"/>
  <c r="L492" i="12"/>
  <c r="L480" i="12"/>
  <c r="L468" i="12"/>
  <c r="L456" i="12"/>
  <c r="L444" i="12"/>
  <c r="L432" i="12"/>
  <c r="L420" i="12"/>
  <c r="L408" i="12"/>
  <c r="L396" i="12"/>
  <c r="L384" i="12"/>
  <c r="L372" i="12"/>
  <c r="L360" i="12"/>
  <c r="L348" i="12"/>
  <c r="L336" i="12"/>
  <c r="L324" i="12"/>
  <c r="L312" i="12"/>
  <c r="L300" i="12"/>
  <c r="L288" i="12"/>
  <c r="L276" i="12"/>
  <c r="L264" i="12"/>
  <c r="L252" i="12"/>
  <c r="L240" i="12"/>
  <c r="L228" i="12"/>
  <c r="L216" i="12"/>
  <c r="L2494" i="12"/>
  <c r="L2479" i="12"/>
  <c r="L2464" i="12"/>
  <c r="L2446" i="12"/>
  <c r="L2431" i="12"/>
  <c r="L2416" i="12"/>
  <c r="L2398" i="12"/>
  <c r="L2383" i="12"/>
  <c r="L2368" i="12"/>
  <c r="L2350" i="12"/>
  <c r="L2335" i="12"/>
  <c r="L2320" i="12"/>
  <c r="L2302" i="12"/>
  <c r="L2287" i="12"/>
  <c r="L2272" i="12"/>
  <c r="L2254" i="12"/>
  <c r="L2239" i="12"/>
  <c r="L2224" i="12"/>
  <c r="L2206" i="12"/>
  <c r="L2191" i="12"/>
  <c r="L2176" i="12"/>
  <c r="L2158" i="12"/>
  <c r="L2143" i="12"/>
  <c r="L2128" i="12"/>
  <c r="L2110" i="12"/>
  <c r="L2095" i="12"/>
  <c r="L2080" i="12"/>
  <c r="L2062" i="12"/>
  <c r="L2047" i="12"/>
  <c r="L2032" i="12"/>
  <c r="L2014" i="12"/>
  <c r="L1999" i="12"/>
  <c r="L1984" i="12"/>
  <c r="L1966" i="12"/>
  <c r="L1951" i="12"/>
  <c r="L1936" i="12"/>
  <c r="L1918" i="12"/>
  <c r="L1903" i="12"/>
  <c r="L1888" i="12"/>
  <c r="L1870" i="12"/>
  <c r="L1855" i="12"/>
  <c r="L1840" i="12"/>
  <c r="L1822" i="12"/>
  <c r="L1807" i="12"/>
  <c r="L1792" i="12"/>
  <c r="L1774" i="12"/>
  <c r="L1759" i="12"/>
  <c r="L1744" i="12"/>
  <c r="L1726" i="12"/>
  <c r="L1711" i="12"/>
  <c r="L1696" i="12"/>
  <c r="L1678" i="12"/>
  <c r="L1663" i="12"/>
  <c r="L1648" i="12"/>
  <c r="L1630" i="12"/>
  <c r="L1615" i="12"/>
  <c r="L1600" i="12"/>
  <c r="L1582" i="12"/>
  <c r="L1567" i="12"/>
  <c r="L1552" i="12"/>
  <c r="L1534" i="12"/>
  <c r="L1519" i="12"/>
  <c r="L1504" i="12"/>
  <c r="L1486" i="12"/>
  <c r="L1474" i="12"/>
  <c r="L1462" i="12"/>
  <c r="L1450" i="12"/>
  <c r="L1438" i="12"/>
  <c r="L1426" i="12"/>
  <c r="L1414" i="12"/>
  <c r="L1402" i="12"/>
  <c r="L2493" i="12"/>
  <c r="L2478" i="12"/>
  <c r="L2462" i="12"/>
  <c r="L2445" i="12"/>
  <c r="L2430" i="12"/>
  <c r="L2414" i="12"/>
  <c r="L2397" i="12"/>
  <c r="L2382" i="12"/>
  <c r="L2366" i="12"/>
  <c r="L2349" i="12"/>
  <c r="L2334" i="12"/>
  <c r="L2318" i="12"/>
  <c r="L2301" i="12"/>
  <c r="L2286" i="12"/>
  <c r="L2270" i="12"/>
  <c r="L2253" i="12"/>
  <c r="L2238" i="12"/>
  <c r="L2222" i="12"/>
  <c r="L2205" i="12"/>
  <c r="L2190" i="12"/>
  <c r="L2174" i="12"/>
  <c r="L2157" i="12"/>
  <c r="L2142" i="12"/>
  <c r="L2126" i="12"/>
  <c r="L2109" i="12"/>
  <c r="L2094" i="12"/>
  <c r="L2078" i="12"/>
  <c r="L2061" i="12"/>
  <c r="L2046" i="12"/>
  <c r="L2030" i="12"/>
  <c r="L2013" i="12"/>
  <c r="L1998" i="12"/>
  <c r="L1982" i="12"/>
  <c r="L1965" i="12"/>
  <c r="L1950" i="12"/>
  <c r="L1934" i="12"/>
  <c r="L1917" i="12"/>
  <c r="L1902" i="12"/>
  <c r="L1886" i="12"/>
  <c r="L1869" i="12"/>
  <c r="L1854" i="12"/>
  <c r="L1838" i="12"/>
  <c r="L1821" i="12"/>
  <c r="L1806" i="12"/>
  <c r="L1790" i="12"/>
  <c r="L1773" i="12"/>
  <c r="L1758" i="12"/>
  <c r="L1742" i="12"/>
  <c r="L1725" i="12"/>
  <c r="L1710" i="12"/>
  <c r="L1694" i="12"/>
  <c r="L1677" i="12"/>
  <c r="L1662" i="12"/>
  <c r="L1646" i="12"/>
  <c r="L1629" i="12"/>
  <c r="L1614" i="12"/>
  <c r="L1598" i="12"/>
  <c r="L1581" i="12"/>
  <c r="L1566" i="12"/>
  <c r="L1550" i="12"/>
  <c r="L1533" i="12"/>
  <c r="L1518" i="12"/>
  <c r="L1502" i="12"/>
  <c r="L1485" i="12"/>
  <c r="L1473" i="12"/>
  <c r="L1461" i="12"/>
  <c r="L1449" i="12"/>
  <c r="L1437" i="12"/>
  <c r="L1425" i="12"/>
  <c r="L1413" i="12"/>
  <c r="L1401" i="12"/>
  <c r="L1389" i="12"/>
  <c r="L1377" i="12"/>
  <c r="L1365" i="12"/>
  <c r="L1353" i="12"/>
  <c r="L1341" i="12"/>
  <c r="L1329" i="12"/>
  <c r="L1317" i="12"/>
  <c r="L1305" i="12"/>
  <c r="L1293" i="12"/>
  <c r="L1281" i="12"/>
  <c r="L1269" i="12"/>
  <c r="L1257" i="12"/>
  <c r="L1245" i="12"/>
  <c r="L1233" i="12"/>
  <c r="L1221" i="12"/>
  <c r="L1209" i="12"/>
  <c r="L1197" i="12"/>
  <c r="L1185" i="12"/>
  <c r="L1173" i="12"/>
  <c r="L1161" i="12"/>
  <c r="L1149" i="12"/>
  <c r="L1137" i="12"/>
  <c r="L1125" i="12"/>
  <c r="L1113" i="12"/>
  <c r="L1101" i="12"/>
  <c r="L1089" i="12"/>
  <c r="L1077" i="12"/>
  <c r="L1065" i="12"/>
  <c r="L1053" i="12"/>
  <c r="L1041" i="12"/>
  <c r="L1029" i="12"/>
  <c r="L1017" i="12"/>
  <c r="L1005" i="12"/>
  <c r="L993" i="12"/>
  <c r="L981" i="12"/>
  <c r="L969" i="12"/>
  <c r="L957" i="12"/>
  <c r="L945" i="12"/>
  <c r="L933" i="12"/>
  <c r="L921" i="12"/>
  <c r="L909" i="12"/>
  <c r="L897" i="12"/>
  <c r="L885" i="12"/>
  <c r="L873" i="12"/>
  <c r="L861" i="12"/>
  <c r="L849" i="12"/>
  <c r="L837" i="12"/>
  <c r="L825" i="12"/>
  <c r="L813" i="12"/>
  <c r="L801" i="12"/>
  <c r="L789" i="12"/>
  <c r="L777" i="12"/>
  <c r="L765" i="12"/>
  <c r="L753" i="12"/>
  <c r="L741" i="12"/>
  <c r="L729" i="12"/>
  <c r="L717" i="12"/>
  <c r="L705" i="12"/>
  <c r="L693" i="12"/>
  <c r="L681" i="12"/>
  <c r="L669" i="12"/>
  <c r="L657" i="12"/>
  <c r="L645" i="12"/>
  <c r="L633" i="12"/>
  <c r="L621" i="12"/>
  <c r="L609" i="12"/>
  <c r="L597" i="12"/>
  <c r="L585" i="12"/>
  <c r="L573" i="12"/>
  <c r="L561" i="12"/>
  <c r="L549" i="12"/>
  <c r="L537" i="12"/>
  <c r="L525" i="12"/>
  <c r="L513" i="12"/>
  <c r="L501" i="12"/>
  <c r="L489" i="12"/>
  <c r="L477" i="12"/>
  <c r="L465" i="12"/>
  <c r="L453" i="12"/>
  <c r="L441" i="12"/>
  <c r="L2482" i="12"/>
  <c r="L2456" i="12"/>
  <c r="L2434" i="12"/>
  <c r="L2408" i="12"/>
  <c r="L2386" i="12"/>
  <c r="L2360" i="12"/>
  <c r="L2338" i="12"/>
  <c r="L2312" i="12"/>
  <c r="L2290" i="12"/>
  <c r="L2266" i="12"/>
  <c r="L2248" i="12"/>
  <c r="L2227" i="12"/>
  <c r="L2203" i="12"/>
  <c r="L2182" i="12"/>
  <c r="L2164" i="12"/>
  <c r="L2140" i="12"/>
  <c r="L2119" i="12"/>
  <c r="L2098" i="12"/>
  <c r="L2074" i="12"/>
  <c r="L2056" i="12"/>
  <c r="L2035" i="12"/>
  <c r="L2011" i="12"/>
  <c r="L1990" i="12"/>
  <c r="L1972" i="12"/>
  <c r="L1948" i="12"/>
  <c r="L1927" i="12"/>
  <c r="L1906" i="12"/>
  <c r="L1882" i="12"/>
  <c r="L1864" i="12"/>
  <c r="L1843" i="12"/>
  <c r="L1819" i="12"/>
  <c r="L1798" i="12"/>
  <c r="L1780" i="12"/>
  <c r="L1756" i="12"/>
  <c r="L1735" i="12"/>
  <c r="L1714" i="12"/>
  <c r="L1690" i="12"/>
  <c r="L1672" i="12"/>
  <c r="L1651" i="12"/>
  <c r="L1627" i="12"/>
  <c r="L1606" i="12"/>
  <c r="L1588" i="12"/>
  <c r="L1564" i="12"/>
  <c r="L1543" i="12"/>
  <c r="L1522" i="12"/>
  <c r="L1498" i="12"/>
  <c r="L1480" i="12"/>
  <c r="L1465" i="12"/>
  <c r="L1447" i="12"/>
  <c r="L1432" i="12"/>
  <c r="L1417" i="12"/>
  <c r="L1399" i="12"/>
  <c r="L1385" i="12"/>
  <c r="L1371" i="12"/>
  <c r="L1357" i="12"/>
  <c r="L1342" i="12"/>
  <c r="L1327" i="12"/>
  <c r="L1313" i="12"/>
  <c r="L1299" i="12"/>
  <c r="L1285" i="12"/>
  <c r="L1270" i="12"/>
  <c r="L1255" i="12"/>
  <c r="L1241" i="12"/>
  <c r="L1227" i="12"/>
  <c r="L1213" i="12"/>
  <c r="L1198" i="12"/>
  <c r="L1183" i="12"/>
  <c r="L1169" i="12"/>
  <c r="L1155" i="12"/>
  <c r="L1141" i="12"/>
  <c r="L1126" i="12"/>
  <c r="L1111" i="12"/>
  <c r="L1097" i="12"/>
  <c r="L1083" i="12"/>
  <c r="L1069" i="12"/>
  <c r="L1054" i="12"/>
  <c r="L1039" i="12"/>
  <c r="L1025" i="12"/>
  <c r="L1011" i="12"/>
  <c r="L997" i="12"/>
  <c r="L982" i="12"/>
  <c r="L967" i="12"/>
  <c r="L953" i="12"/>
  <c r="L939" i="12"/>
  <c r="L925" i="12"/>
  <c r="L2497" i="12"/>
  <c r="L2469" i="12"/>
  <c r="L2444" i="12"/>
  <c r="L2421" i="12"/>
  <c r="L2396" i="12"/>
  <c r="L2373" i="12"/>
  <c r="L2348" i="12"/>
  <c r="L2325" i="12"/>
  <c r="L2300" i="12"/>
  <c r="L2278" i="12"/>
  <c r="L2260" i="12"/>
  <c r="L2236" i="12"/>
  <c r="L2215" i="12"/>
  <c r="L2194" i="12"/>
  <c r="L2170" i="12"/>
  <c r="L2152" i="12"/>
  <c r="L2131" i="12"/>
  <c r="L2107" i="12"/>
  <c r="L2086" i="12"/>
  <c r="L2068" i="12"/>
  <c r="L2044" i="12"/>
  <c r="L2023" i="12"/>
  <c r="L2002" i="12"/>
  <c r="L1978" i="12"/>
  <c r="L1960" i="12"/>
  <c r="L1939" i="12"/>
  <c r="L1915" i="12"/>
  <c r="L1894" i="12"/>
  <c r="L1876" i="12"/>
  <c r="L1852" i="12"/>
  <c r="L1831" i="12"/>
  <c r="L1810" i="12"/>
  <c r="L1786" i="12"/>
  <c r="L1768" i="12"/>
  <c r="L1747" i="12"/>
  <c r="L1723" i="12"/>
  <c r="L1702" i="12"/>
  <c r="L1684" i="12"/>
  <c r="L1660" i="12"/>
  <c r="L1639" i="12"/>
  <c r="L1618" i="12"/>
  <c r="L1594" i="12"/>
  <c r="L1576" i="12"/>
  <c r="L1555" i="12"/>
  <c r="L1531" i="12"/>
  <c r="L1510" i="12"/>
  <c r="L1492" i="12"/>
  <c r="L1471" i="12"/>
  <c r="L1456" i="12"/>
  <c r="L1441" i="12"/>
  <c r="L1423" i="12"/>
  <c r="L1408" i="12"/>
  <c r="L1393" i="12"/>
  <c r="L1378" i="12"/>
  <c r="L1363" i="12"/>
  <c r="L1349" i="12"/>
  <c r="L1335" i="12"/>
  <c r="L1321" i="12"/>
  <c r="L1306" i="12"/>
  <c r="L1291" i="12"/>
  <c r="L1277" i="12"/>
  <c r="L1263" i="12"/>
  <c r="L1249" i="12"/>
  <c r="L1234" i="12"/>
  <c r="L1219" i="12"/>
  <c r="L1205" i="12"/>
  <c r="L1191" i="12"/>
  <c r="L1177" i="12"/>
  <c r="L1162" i="12"/>
  <c r="L1147" i="12"/>
  <c r="L1133" i="12"/>
  <c r="L1119" i="12"/>
  <c r="L1105" i="12"/>
  <c r="L1090" i="12"/>
  <c r="L1075" i="12"/>
  <c r="L1061" i="12"/>
  <c r="L1047" i="12"/>
  <c r="L1033" i="12"/>
  <c r="L1018" i="12"/>
  <c r="L1003" i="12"/>
  <c r="L989" i="12"/>
  <c r="L975" i="12"/>
  <c r="L961" i="12"/>
  <c r="L946" i="12"/>
  <c r="L931" i="12"/>
  <c r="L917" i="12"/>
  <c r="L2491" i="12"/>
  <c r="L2467" i="12"/>
  <c r="L2441" i="12"/>
  <c r="L2419" i="12"/>
  <c r="L2393" i="12"/>
  <c r="L2371" i="12"/>
  <c r="L2345" i="12"/>
  <c r="L2323" i="12"/>
  <c r="L2297" i="12"/>
  <c r="L2276" i="12"/>
  <c r="L2252" i="12"/>
  <c r="L2233" i="12"/>
  <c r="L2213" i="12"/>
  <c r="L2189" i="12"/>
  <c r="L2168" i="12"/>
  <c r="L2149" i="12"/>
  <c r="L2125" i="12"/>
  <c r="L2105" i="12"/>
  <c r="L2084" i="12"/>
  <c r="L2060" i="12"/>
  <c r="L2041" i="12"/>
  <c r="L2021" i="12"/>
  <c r="L1997" i="12"/>
  <c r="L1976" i="12"/>
  <c r="L1957" i="12"/>
  <c r="L1933" i="12"/>
  <c r="L1913" i="12"/>
  <c r="L1892" i="12"/>
  <c r="L1868" i="12"/>
  <c r="L1849" i="12"/>
  <c r="L1829" i="12"/>
  <c r="L1805" i="12"/>
  <c r="L1784" i="12"/>
  <c r="L2489" i="12"/>
  <c r="L2465" i="12"/>
  <c r="L2440" i="12"/>
  <c r="L2417" i="12"/>
  <c r="L2392" i="12"/>
  <c r="L2369" i="12"/>
  <c r="L2344" i="12"/>
  <c r="L2321" i="12"/>
  <c r="L2296" i="12"/>
  <c r="L2275" i="12"/>
  <c r="L2251" i="12"/>
  <c r="L2230" i="12"/>
  <c r="L2212" i="12"/>
  <c r="L2188" i="12"/>
  <c r="L2167" i="12"/>
  <c r="L2146" i="12"/>
  <c r="L2122" i="12"/>
  <c r="L2104" i="12"/>
  <c r="L2083" i="12"/>
  <c r="L2059" i="12"/>
  <c r="L2038" i="12"/>
  <c r="L2020" i="12"/>
  <c r="L1996" i="12"/>
  <c r="L1975" i="12"/>
  <c r="L1954" i="12"/>
  <c r="L1930" i="12"/>
  <c r="L1912" i="12"/>
  <c r="L1891" i="12"/>
  <c r="L1867" i="12"/>
  <c r="L1846" i="12"/>
  <c r="L1828" i="12"/>
  <c r="L1804" i="12"/>
  <c r="L1783" i="12"/>
  <c r="L1762" i="12"/>
  <c r="L1738" i="12"/>
  <c r="L1720" i="12"/>
  <c r="L1699" i="12"/>
  <c r="L1675" i="12"/>
  <c r="L1654" i="12"/>
  <c r="L1636" i="12"/>
  <c r="L1612" i="12"/>
  <c r="L1591" i="12"/>
  <c r="L1570" i="12"/>
  <c r="L1546" i="12"/>
  <c r="L1528" i="12"/>
  <c r="L1507" i="12"/>
  <c r="L1483" i="12"/>
  <c r="L1468" i="12"/>
  <c r="L1453" i="12"/>
  <c r="L1435" i="12"/>
  <c r="L1420" i="12"/>
  <c r="L1405" i="12"/>
  <c r="L1388" i="12"/>
  <c r="L1374" i="12"/>
  <c r="L1360" i="12"/>
  <c r="L1346" i="12"/>
  <c r="L1331" i="12"/>
  <c r="L1316" i="12"/>
  <c r="L1302" i="12"/>
  <c r="L1288" i="12"/>
  <c r="L1274" i="12"/>
  <c r="L2461" i="12"/>
  <c r="L2428" i="12"/>
  <c r="L2390" i="12"/>
  <c r="L2357" i="12"/>
  <c r="L2317" i="12"/>
  <c r="L2284" i="12"/>
  <c r="L2250" i="12"/>
  <c r="L2218" i="12"/>
  <c r="L2186" i="12"/>
  <c r="L2155" i="12"/>
  <c r="L2121" i="12"/>
  <c r="L2092" i="12"/>
  <c r="L2058" i="12"/>
  <c r="L2026" i="12"/>
  <c r="L1994" i="12"/>
  <c r="L1963" i="12"/>
  <c r="L1929" i="12"/>
  <c r="L1900" i="12"/>
  <c r="L1866" i="12"/>
  <c r="L1834" i="12"/>
  <c r="L1802" i="12"/>
  <c r="L1771" i="12"/>
  <c r="L1745" i="12"/>
  <c r="L1717" i="12"/>
  <c r="L1687" i="12"/>
  <c r="L1658" i="12"/>
  <c r="L1628" i="12"/>
  <c r="L1603" i="12"/>
  <c r="L1574" i="12"/>
  <c r="L1544" i="12"/>
  <c r="L1516" i="12"/>
  <c r="L1489" i="12"/>
  <c r="L1466" i="12"/>
  <c r="L1444" i="12"/>
  <c r="L1422" i="12"/>
  <c r="L1400" i="12"/>
  <c r="L1382" i="12"/>
  <c r="L1362" i="12"/>
  <c r="L1343" i="12"/>
  <c r="L1324" i="12"/>
  <c r="L1304" i="12"/>
  <c r="L1286" i="12"/>
  <c r="L1266" i="12"/>
  <c r="L1250" i="12"/>
  <c r="L1231" i="12"/>
  <c r="L1215" i="12"/>
  <c r="L1196" i="12"/>
  <c r="L1180" i="12"/>
  <c r="L1163" i="12"/>
  <c r="L1145" i="12"/>
  <c r="L1129" i="12"/>
  <c r="L1110" i="12"/>
  <c r="L1094" i="12"/>
  <c r="L1076" i="12"/>
  <c r="L1059" i="12"/>
  <c r="L2492" i="12"/>
  <c r="L2454" i="12"/>
  <c r="L2420" i="12"/>
  <c r="L2381" i="12"/>
  <c r="L2347" i="12"/>
  <c r="L2310" i="12"/>
  <c r="L2277" i="12"/>
  <c r="L2245" i="12"/>
  <c r="L2214" i="12"/>
  <c r="L2180" i="12"/>
  <c r="L2150" i="12"/>
  <c r="L2117" i="12"/>
  <c r="L2085" i="12"/>
  <c r="L2053" i="12"/>
  <c r="L2022" i="12"/>
  <c r="L1988" i="12"/>
  <c r="L1958" i="12"/>
  <c r="L1925" i="12"/>
  <c r="L1893" i="12"/>
  <c r="L1861" i="12"/>
  <c r="L1830" i="12"/>
  <c r="L1796" i="12"/>
  <c r="L1766" i="12"/>
  <c r="L1736" i="12"/>
  <c r="L1708" i="12"/>
  <c r="L1681" i="12"/>
  <c r="L1652" i="12"/>
  <c r="L1624" i="12"/>
  <c r="L1593" i="12"/>
  <c r="L1565" i="12"/>
  <c r="L1540" i="12"/>
  <c r="L1509" i="12"/>
  <c r="L1481" i="12"/>
  <c r="L1459" i="12"/>
  <c r="L1439" i="12"/>
  <c r="L1418" i="12"/>
  <c r="L1396" i="12"/>
  <c r="L1376" i="12"/>
  <c r="L1358" i="12"/>
  <c r="L1338" i="12"/>
  <c r="L1319" i="12"/>
  <c r="L1300" i="12"/>
  <c r="L1280" i="12"/>
  <c r="L1262" i="12"/>
  <c r="L1244" i="12"/>
  <c r="L1228" i="12"/>
  <c r="L1210" i="12"/>
  <c r="L1193" i="12"/>
  <c r="L1175" i="12"/>
  <c r="L1158" i="12"/>
  <c r="L1142" i="12"/>
  <c r="L1123" i="12"/>
  <c r="L1107" i="12"/>
  <c r="L1088" i="12"/>
  <c r="L1072" i="12"/>
  <c r="L1055" i="12"/>
  <c r="L1037" i="12"/>
  <c r="L1021" i="12"/>
  <c r="L1002" i="12"/>
  <c r="L986" i="12"/>
  <c r="L968" i="12"/>
  <c r="L951" i="12"/>
  <c r="L934" i="12"/>
  <c r="L916" i="12"/>
  <c r="L902" i="12"/>
  <c r="L887" i="12"/>
  <c r="L872" i="12"/>
  <c r="L858" i="12"/>
  <c r="L844" i="12"/>
  <c r="L830" i="12"/>
  <c r="L815" i="12"/>
  <c r="L800" i="12"/>
  <c r="L786" i="12"/>
  <c r="L772" i="12"/>
  <c r="L758" i="12"/>
  <c r="L743" i="12"/>
  <c r="L728" i="12"/>
  <c r="L714" i="12"/>
  <c r="L700" i="12"/>
  <c r="L686" i="12"/>
  <c r="L671" i="12"/>
  <c r="L656" i="12"/>
  <c r="L642" i="12"/>
  <c r="L628" i="12"/>
  <c r="L614" i="12"/>
  <c r="L599" i="12"/>
  <c r="L584" i="12"/>
  <c r="L570" i="12"/>
  <c r="L556" i="12"/>
  <c r="L542" i="12"/>
  <c r="L527" i="12"/>
  <c r="L512" i="12"/>
  <c r="L498" i="12"/>
  <c r="L484" i="12"/>
  <c r="L470" i="12"/>
  <c r="L455" i="12"/>
  <c r="L440" i="12"/>
  <c r="L427" i="12"/>
  <c r="L414" i="12"/>
  <c r="L401" i="12"/>
  <c r="L388" i="12"/>
  <c r="L375" i="12"/>
  <c r="L362" i="12"/>
  <c r="L349" i="12"/>
  <c r="L335" i="12"/>
  <c r="L322" i="12"/>
  <c r="L309" i="12"/>
  <c r="L296" i="12"/>
  <c r="L283" i="12"/>
  <c r="L270" i="12"/>
  <c r="L257" i="12"/>
  <c r="L244" i="12"/>
  <c r="L231" i="12"/>
  <c r="L218" i="12"/>
  <c r="L205" i="12"/>
  <c r="L193" i="12"/>
  <c r="L181" i="12"/>
  <c r="L169" i="12"/>
  <c r="L157" i="12"/>
  <c r="L145" i="12"/>
  <c r="L133" i="12"/>
  <c r="L121" i="12"/>
  <c r="L109" i="12"/>
  <c r="L97" i="12"/>
  <c r="L85" i="12"/>
  <c r="L73" i="12"/>
  <c r="L61" i="12"/>
  <c r="L49" i="12"/>
  <c r="L37" i="12"/>
  <c r="L25" i="12"/>
  <c r="L13" i="12"/>
  <c r="L2485" i="12"/>
  <c r="L2452" i="12"/>
  <c r="L2410" i="12"/>
  <c r="L2377" i="12"/>
  <c r="L2341" i="12"/>
  <c r="L2308" i="12"/>
  <c r="L2269" i="12"/>
  <c r="L2240" i="12"/>
  <c r="L2204" i="12"/>
  <c r="L2177" i="12"/>
  <c r="L2141" i="12"/>
  <c r="L2113" i="12"/>
  <c r="L2077" i="12"/>
  <c r="L2048" i="12"/>
  <c r="L2012" i="12"/>
  <c r="L1985" i="12"/>
  <c r="L1949" i="12"/>
  <c r="L1921" i="12"/>
  <c r="L1885" i="12"/>
  <c r="L1856" i="12"/>
  <c r="L1820" i="12"/>
  <c r="L1793" i="12"/>
  <c r="L1760" i="12"/>
  <c r="L1733" i="12"/>
  <c r="L1705" i="12"/>
  <c r="L1674" i="12"/>
  <c r="L1645" i="12"/>
  <c r="L1621" i="12"/>
  <c r="L1590" i="12"/>
  <c r="L1561" i="12"/>
  <c r="L1532" i="12"/>
  <c r="L1505" i="12"/>
  <c r="L1478" i="12"/>
  <c r="L1457" i="12"/>
  <c r="L1434" i="12"/>
  <c r="L1412" i="12"/>
  <c r="L1394" i="12"/>
  <c r="L1373" i="12"/>
  <c r="L1354" i="12"/>
  <c r="L1336" i="12"/>
  <c r="L1315" i="12"/>
  <c r="L1297" i="12"/>
  <c r="L1278" i="12"/>
  <c r="L1259" i="12"/>
  <c r="L1242" i="12"/>
  <c r="L1225" i="12"/>
  <c r="L1207" i="12"/>
  <c r="L1190" i="12"/>
  <c r="L1172" i="12"/>
  <c r="L1156" i="12"/>
  <c r="L1138" i="12"/>
  <c r="L1121" i="12"/>
  <c r="L1103" i="12"/>
  <c r="L1086" i="12"/>
  <c r="L1070" i="12"/>
  <c r="L1051" i="12"/>
  <c r="L1035" i="12"/>
  <c r="L1016" i="12"/>
  <c r="L1000" i="12"/>
  <c r="L983" i="12"/>
  <c r="L965" i="12"/>
  <c r="L949" i="12"/>
  <c r="L930" i="12"/>
  <c r="L914" i="12"/>
  <c r="L899" i="12"/>
  <c r="L884" i="12"/>
  <c r="L870" i="12"/>
  <c r="L856" i="12"/>
  <c r="L842" i="12"/>
  <c r="L827" i="12"/>
  <c r="L812" i="12"/>
  <c r="L798" i="12"/>
  <c r="L784" i="12"/>
  <c r="L770" i="12"/>
  <c r="L755" i="12"/>
  <c r="L740" i="12"/>
  <c r="L726" i="12"/>
  <c r="L712" i="12"/>
  <c r="L698" i="12"/>
  <c r="L683" i="12"/>
  <c r="L668" i="12"/>
  <c r="L654" i="12"/>
  <c r="L640" i="12"/>
  <c r="L626" i="12"/>
  <c r="L611" i="12"/>
  <c r="L2480" i="12"/>
  <c r="L2449" i="12"/>
  <c r="L2407" i="12"/>
  <c r="L2374" i="12"/>
  <c r="L2336" i="12"/>
  <c r="L2305" i="12"/>
  <c r="L2265" i="12"/>
  <c r="L2237" i="12"/>
  <c r="L2202" i="12"/>
  <c r="L2173" i="12"/>
  <c r="L2138" i="12"/>
  <c r="L2108" i="12"/>
  <c r="L2073" i="12"/>
  <c r="L2045" i="12"/>
  <c r="L2010" i="12"/>
  <c r="L1981" i="12"/>
  <c r="L1946" i="12"/>
  <c r="L1916" i="12"/>
  <c r="L1881" i="12"/>
  <c r="L1853" i="12"/>
  <c r="L1818" i="12"/>
  <c r="L1789" i="12"/>
  <c r="L1757" i="12"/>
  <c r="L1732" i="12"/>
  <c r="L1701" i="12"/>
  <c r="L1673" i="12"/>
  <c r="L1642" i="12"/>
  <c r="L1616" i="12"/>
  <c r="L1589" i="12"/>
  <c r="L1558" i="12"/>
  <c r="L1530" i="12"/>
  <c r="L1501" i="12"/>
  <c r="L1477" i="12"/>
  <c r="L1455" i="12"/>
  <c r="L1433" i="12"/>
  <c r="L1411" i="12"/>
  <c r="L1391" i="12"/>
  <c r="L1372" i="12"/>
  <c r="L1352" i="12"/>
  <c r="L1334" i="12"/>
  <c r="L1314" i="12"/>
  <c r="L1295" i="12"/>
  <c r="L1276" i="12"/>
  <c r="L1258" i="12"/>
  <c r="L1240" i="12"/>
  <c r="L1223" i="12"/>
  <c r="L1206" i="12"/>
  <c r="L1189" i="12"/>
  <c r="L1171" i="12"/>
  <c r="L1154" i="12"/>
  <c r="L1136" i="12"/>
  <c r="L1120" i="12"/>
  <c r="L1102" i="12"/>
  <c r="L1085" i="12"/>
  <c r="L1067" i="12"/>
  <c r="L1050" i="12"/>
  <c r="L1034" i="12"/>
  <c r="L1015" i="12"/>
  <c r="L999" i="12"/>
  <c r="L980" i="12"/>
  <c r="L964" i="12"/>
  <c r="L947" i="12"/>
  <c r="L929" i="12"/>
  <c r="L913" i="12"/>
  <c r="L898" i="12"/>
  <c r="L883" i="12"/>
  <c r="L869" i="12"/>
  <c r="L855" i="12"/>
  <c r="L841" i="12"/>
  <c r="L826" i="12"/>
  <c r="L811" i="12"/>
  <c r="L797" i="12"/>
  <c r="L783" i="12"/>
  <c r="L769" i="12"/>
  <c r="L754" i="12"/>
  <c r="L739" i="12"/>
  <c r="L725" i="12"/>
  <c r="L711" i="12"/>
  <c r="L697" i="12"/>
  <c r="L682" i="12"/>
  <c r="L667" i="12"/>
  <c r="L653" i="12"/>
  <c r="L639" i="12"/>
  <c r="L625" i="12"/>
  <c r="L610" i="12"/>
  <c r="L595" i="12"/>
  <c r="L581" i="12"/>
  <c r="L567" i="12"/>
  <c r="L553" i="12"/>
  <c r="L538" i="12"/>
  <c r="L523" i="12"/>
  <c r="L509" i="12"/>
  <c r="L495" i="12"/>
  <c r="L481" i="12"/>
  <c r="L466" i="12"/>
  <c r="L451" i="12"/>
  <c r="L437" i="12"/>
  <c r="L424" i="12"/>
  <c r="L411" i="12"/>
  <c r="L398" i="12"/>
  <c r="L385" i="12"/>
  <c r="L371" i="12"/>
  <c r="L358" i="12"/>
  <c r="L345" i="12"/>
  <c r="L332" i="12"/>
  <c r="L319" i="12"/>
  <c r="L306" i="12"/>
  <c r="L293" i="12"/>
  <c r="L280" i="12"/>
  <c r="L267" i="12"/>
  <c r="L254" i="12"/>
  <c r="L241" i="12"/>
  <c r="L227" i="12"/>
  <c r="L214" i="12"/>
  <c r="L202" i="12"/>
  <c r="L190" i="12"/>
  <c r="L178" i="12"/>
  <c r="L166" i="12"/>
  <c r="L154" i="12"/>
  <c r="L142" i="12"/>
  <c r="L130" i="12"/>
  <c r="L118" i="12"/>
  <c r="L106" i="12"/>
  <c r="L94" i="12"/>
  <c r="L82" i="12"/>
  <c r="L70" i="12"/>
  <c r="L58" i="12"/>
  <c r="L46" i="12"/>
  <c r="L34" i="12"/>
  <c r="L22" i="12"/>
  <c r="L10" i="12"/>
  <c r="L2458" i="12"/>
  <c r="L2405" i="12"/>
  <c r="L2356" i="12"/>
  <c r="L2294" i="12"/>
  <c r="L2249" i="12"/>
  <c r="L2200" i="12"/>
  <c r="L2154" i="12"/>
  <c r="L2102" i="12"/>
  <c r="L2057" i="12"/>
  <c r="L2008" i="12"/>
  <c r="L1962" i="12"/>
  <c r="L1910" i="12"/>
  <c r="L1865" i="12"/>
  <c r="L1816" i="12"/>
  <c r="L1770" i="12"/>
  <c r="L1724" i="12"/>
  <c r="L1686" i="12"/>
  <c r="L1640" i="12"/>
  <c r="L1601" i="12"/>
  <c r="L1556" i="12"/>
  <c r="L1514" i="12"/>
  <c r="L1472" i="12"/>
  <c r="L1443" i="12"/>
  <c r="L1409" i="12"/>
  <c r="L1381" i="12"/>
  <c r="L1350" i="12"/>
  <c r="L1323" i="12"/>
  <c r="L1292" i="12"/>
  <c r="L1265" i="12"/>
  <c r="L1238" i="12"/>
  <c r="L1214" i="12"/>
  <c r="L1186" i="12"/>
  <c r="L1160" i="12"/>
  <c r="L1134" i="12"/>
  <c r="L1109" i="12"/>
  <c r="L1082" i="12"/>
  <c r="L1058" i="12"/>
  <c r="L1031" i="12"/>
  <c r="L1010" i="12"/>
  <c r="L988" i="12"/>
  <c r="L963" i="12"/>
  <c r="L941" i="12"/>
  <c r="L919" i="12"/>
  <c r="L896" i="12"/>
  <c r="L879" i="12"/>
  <c r="L860" i="12"/>
  <c r="L839" i="12"/>
  <c r="L821" i="12"/>
  <c r="L803" i="12"/>
  <c r="L782" i="12"/>
  <c r="L763" i="12"/>
  <c r="L746" i="12"/>
  <c r="L724" i="12"/>
  <c r="L706" i="12"/>
  <c r="L688" i="12"/>
  <c r="L666" i="12"/>
  <c r="L649" i="12"/>
  <c r="L630" i="12"/>
  <c r="L608" i="12"/>
  <c r="L592" i="12"/>
  <c r="L575" i="12"/>
  <c r="L558" i="12"/>
  <c r="L541" i="12"/>
  <c r="L522" i="12"/>
  <c r="L506" i="12"/>
  <c r="L488" i="12"/>
  <c r="L472" i="12"/>
  <c r="L454" i="12"/>
  <c r="L436" i="12"/>
  <c r="L421" i="12"/>
  <c r="L405" i="12"/>
  <c r="L390" i="12"/>
  <c r="L374" i="12"/>
  <c r="L357" i="12"/>
  <c r="L342" i="12"/>
  <c r="L327" i="12"/>
  <c r="L311" i="12"/>
  <c r="L295" i="12"/>
  <c r="L279" i="12"/>
  <c r="L263" i="12"/>
  <c r="L248" i="12"/>
  <c r="L233" i="12"/>
  <c r="L217" i="12"/>
  <c r="L201" i="12"/>
  <c r="L187" i="12"/>
  <c r="L173" i="12"/>
  <c r="L159" i="12"/>
  <c r="L144" i="12"/>
  <c r="L2443" i="12"/>
  <c r="L2395" i="12"/>
  <c r="L2333" i="12"/>
  <c r="L2285" i="12"/>
  <c r="L2234" i="12"/>
  <c r="L2192" i="12"/>
  <c r="L2137" i="12"/>
  <c r="L2093" i="12"/>
  <c r="L2042" i="12"/>
  <c r="L2000" i="12"/>
  <c r="L1945" i="12"/>
  <c r="L1901" i="12"/>
  <c r="L1850" i="12"/>
  <c r="L1808" i="12"/>
  <c r="L1754" i="12"/>
  <c r="L1718" i="12"/>
  <c r="L1670" i="12"/>
  <c r="L1633" i="12"/>
  <c r="L1585" i="12"/>
  <c r="L1545" i="12"/>
  <c r="L1497" i="12"/>
  <c r="L1467" i="12"/>
  <c r="L1431" i="12"/>
  <c r="L1403" i="12"/>
  <c r="L1370" i="12"/>
  <c r="L1345" i="12"/>
  <c r="L1312" i="12"/>
  <c r="L1287" i="12"/>
  <c r="L1256" i="12"/>
  <c r="L1232" i="12"/>
  <c r="L1204" i="12"/>
  <c r="L1181" i="12"/>
  <c r="L1153" i="12"/>
  <c r="L1130" i="12"/>
  <c r="L1100" i="12"/>
  <c r="L1078" i="12"/>
  <c r="L1049" i="12"/>
  <c r="L1027" i="12"/>
  <c r="L1006" i="12"/>
  <c r="L979" i="12"/>
  <c r="L958" i="12"/>
  <c r="L937" i="12"/>
  <c r="L911" i="12"/>
  <c r="L893" i="12"/>
  <c r="L875" i="12"/>
  <c r="L854" i="12"/>
  <c r="L835" i="12"/>
  <c r="L818" i="12"/>
  <c r="L796" i="12"/>
  <c r="L778" i="12"/>
  <c r="L760" i="12"/>
  <c r="L738" i="12"/>
  <c r="L721" i="12"/>
  <c r="L702" i="12"/>
  <c r="L680" i="12"/>
  <c r="L663" i="12"/>
  <c r="L644" i="12"/>
  <c r="L623" i="12"/>
  <c r="L605" i="12"/>
  <c r="L589" i="12"/>
  <c r="L571" i="12"/>
  <c r="L554" i="12"/>
  <c r="L535" i="12"/>
  <c r="L519" i="12"/>
  <c r="L502" i="12"/>
  <c r="L485" i="12"/>
  <c r="L467" i="12"/>
  <c r="L449" i="12"/>
  <c r="L433" i="12"/>
  <c r="L417" i="12"/>
  <c r="L402" i="12"/>
  <c r="L386" i="12"/>
  <c r="L369" i="12"/>
  <c r="L354" i="12"/>
  <c r="L339" i="12"/>
  <c r="L323" i="12"/>
  <c r="L307" i="12"/>
  <c r="L291" i="12"/>
  <c r="L275" i="12"/>
  <c r="L260" i="12"/>
  <c r="L245" i="12"/>
  <c r="L229" i="12"/>
  <c r="L212" i="12"/>
  <c r="L198" i="12"/>
  <c r="L184" i="12"/>
  <c r="L2488" i="12"/>
  <c r="L2432" i="12"/>
  <c r="L2380" i="12"/>
  <c r="L2326" i="12"/>
  <c r="L2273" i="12"/>
  <c r="L2225" i="12"/>
  <c r="L2179" i="12"/>
  <c r="L2132" i="12"/>
  <c r="L2081" i="12"/>
  <c r="L2033" i="12"/>
  <c r="L1987" i="12"/>
  <c r="L1940" i="12"/>
  <c r="L1889" i="12"/>
  <c r="L1841" i="12"/>
  <c r="L1795" i="12"/>
  <c r="L1749" i="12"/>
  <c r="L1706" i="12"/>
  <c r="L1664" i="12"/>
  <c r="L1622" i="12"/>
  <c r="L1578" i="12"/>
  <c r="L1537" i="12"/>
  <c r="L1494" i="12"/>
  <c r="L1458" i="12"/>
  <c r="L1427" i="12"/>
  <c r="L1395" i="12"/>
  <c r="L1366" i="12"/>
  <c r="L1337" i="12"/>
  <c r="L1309" i="12"/>
  <c r="L1279" i="12"/>
  <c r="L1252" i="12"/>
  <c r="L1226" i="12"/>
  <c r="L1201" i="12"/>
  <c r="L1174" i="12"/>
  <c r="L1148" i="12"/>
  <c r="L1122" i="12"/>
  <c r="L1096" i="12"/>
  <c r="L1071" i="12"/>
  <c r="L1045" i="12"/>
  <c r="L1023" i="12"/>
  <c r="L998" i="12"/>
  <c r="L976" i="12"/>
  <c r="L954" i="12"/>
  <c r="L928" i="12"/>
  <c r="L907" i="12"/>
  <c r="L890" i="12"/>
  <c r="L868" i="12"/>
  <c r="L850" i="12"/>
  <c r="L832" i="12"/>
  <c r="L810" i="12"/>
  <c r="L793" i="12"/>
  <c r="L774" i="12"/>
  <c r="L752" i="12"/>
  <c r="L735" i="12"/>
  <c r="L716" i="12"/>
  <c r="L695" i="12"/>
  <c r="L677" i="12"/>
  <c r="L659" i="12"/>
  <c r="L638" i="12"/>
  <c r="L619" i="12"/>
  <c r="L602" i="12"/>
  <c r="L583" i="12"/>
  <c r="L566" i="12"/>
  <c r="L548" i="12"/>
  <c r="L532" i="12"/>
  <c r="L515" i="12"/>
  <c r="L497" i="12"/>
  <c r="L479" i="12"/>
  <c r="L462" i="12"/>
  <c r="L446" i="12"/>
  <c r="L429" i="12"/>
  <c r="L413" i="12"/>
  <c r="L397" i="12"/>
  <c r="L381" i="12"/>
  <c r="L366" i="12"/>
  <c r="L351" i="12"/>
  <c r="L334" i="12"/>
  <c r="L318" i="12"/>
  <c r="L303" i="12"/>
  <c r="L287" i="12"/>
  <c r="L272" i="12"/>
  <c r="L256" i="12"/>
  <c r="L239" i="12"/>
  <c r="L224" i="12"/>
  <c r="L209" i="12"/>
  <c r="L195" i="12"/>
  <c r="L180" i="12"/>
  <c r="L165" i="12"/>
  <c r="L151" i="12"/>
  <c r="L2476" i="12"/>
  <c r="L2425" i="12"/>
  <c r="L2365" i="12"/>
  <c r="L2314" i="12"/>
  <c r="L2263" i="12"/>
  <c r="L2217" i="12"/>
  <c r="L2166" i="12"/>
  <c r="L2120" i="12"/>
  <c r="L2071" i="12"/>
  <c r="L2025" i="12"/>
  <c r="L1974" i="12"/>
  <c r="L1928" i="12"/>
  <c r="L1879" i="12"/>
  <c r="L1833" i="12"/>
  <c r="L1782" i="12"/>
  <c r="L1741" i="12"/>
  <c r="L1697" i="12"/>
  <c r="L1657" i="12"/>
  <c r="L1610" i="12"/>
  <c r="L1573" i="12"/>
  <c r="L1526" i="12"/>
  <c r="L1484" i="12"/>
  <c r="L1451" i="12"/>
  <c r="L1421" i="12"/>
  <c r="L1387" i="12"/>
  <c r="L1361" i="12"/>
  <c r="L1330" i="12"/>
  <c r="L1303" i="12"/>
  <c r="L1273" i="12"/>
  <c r="L1247" i="12"/>
  <c r="L1220" i="12"/>
  <c r="L1195" i="12"/>
  <c r="L1168" i="12"/>
  <c r="L1144" i="12"/>
  <c r="L1117" i="12"/>
  <c r="L1093" i="12"/>
  <c r="L1064" i="12"/>
  <c r="L1042" i="12"/>
  <c r="L1019" i="12"/>
  <c r="L994" i="12"/>
  <c r="L973" i="12"/>
  <c r="L950" i="12"/>
  <c r="L926" i="12"/>
  <c r="L905" i="12"/>
  <c r="L886" i="12"/>
  <c r="L866" i="12"/>
  <c r="L847" i="12"/>
  <c r="L829" i="12"/>
  <c r="L808" i="12"/>
  <c r="L790" i="12"/>
  <c r="L771" i="12"/>
  <c r="L750" i="12"/>
  <c r="L733" i="12"/>
  <c r="L713" i="12"/>
  <c r="L692" i="12"/>
  <c r="L675" i="12"/>
  <c r="L655" i="12"/>
  <c r="L635" i="12"/>
  <c r="L617" i="12"/>
  <c r="L598" i="12"/>
  <c r="L580" i="12"/>
  <c r="L563" i="12"/>
  <c r="L546" i="12"/>
  <c r="L530" i="12"/>
  <c r="L511" i="12"/>
  <c r="L494" i="12"/>
  <c r="L476" i="12"/>
  <c r="L460" i="12"/>
  <c r="L443" i="12"/>
  <c r="L426" i="12"/>
  <c r="L410" i="12"/>
  <c r="L394" i="12"/>
  <c r="L379" i="12"/>
  <c r="L364" i="12"/>
  <c r="L347" i="12"/>
  <c r="L331" i="12"/>
  <c r="L316" i="12"/>
  <c r="L301" i="12"/>
  <c r="L285" i="12"/>
  <c r="L2473" i="12"/>
  <c r="L2422" i="12"/>
  <c r="L2362" i="12"/>
  <c r="L2311" i="12"/>
  <c r="L2262" i="12"/>
  <c r="L2216" i="12"/>
  <c r="L2165" i="12"/>
  <c r="L2118" i="12"/>
  <c r="L2070" i="12"/>
  <c r="L2024" i="12"/>
  <c r="L1973" i="12"/>
  <c r="L1926" i="12"/>
  <c r="L1878" i="12"/>
  <c r="L1832" i="12"/>
  <c r="L1781" i="12"/>
  <c r="L1737" i="12"/>
  <c r="L1693" i="12"/>
  <c r="L1653" i="12"/>
  <c r="L1609" i="12"/>
  <c r="L1568" i="12"/>
  <c r="L1525" i="12"/>
  <c r="L1482" i="12"/>
  <c r="L1448" i="12"/>
  <c r="L1419" i="12"/>
  <c r="L1386" i="12"/>
  <c r="L1359" i="12"/>
  <c r="L1328" i="12"/>
  <c r="L1301" i="12"/>
  <c r="L1271" i="12"/>
  <c r="L1246" i="12"/>
  <c r="L1218" i="12"/>
  <c r="L1194" i="12"/>
  <c r="L1167" i="12"/>
  <c r="L1143" i="12"/>
  <c r="L1115" i="12"/>
  <c r="L1091" i="12"/>
  <c r="L1063" i="12"/>
  <c r="L1040" i="12"/>
  <c r="L1014" i="12"/>
  <c r="L992" i="12"/>
  <c r="L971" i="12"/>
  <c r="L944" i="12"/>
  <c r="L923" i="12"/>
  <c r="L2470" i="12"/>
  <c r="L2413" i="12"/>
  <c r="L2359" i="12"/>
  <c r="L2309" i="12"/>
  <c r="L2261" i="12"/>
  <c r="L2209" i="12"/>
  <c r="L2161" i="12"/>
  <c r="L2116" i="12"/>
  <c r="L2069" i="12"/>
  <c r="L2017" i="12"/>
  <c r="L1969" i="12"/>
  <c r="L1924" i="12"/>
  <c r="L1877" i="12"/>
  <c r="L1825" i="12"/>
  <c r="L1777" i="12"/>
  <c r="L1734" i="12"/>
  <c r="L1689" i="12"/>
  <c r="L1649" i="12"/>
  <c r="L1605" i="12"/>
  <c r="L1562" i="12"/>
  <c r="L1520" i="12"/>
  <c r="L1479" i="12"/>
  <c r="L1446" i="12"/>
  <c r="L1415" i="12"/>
  <c r="L1384" i="12"/>
  <c r="L1355" i="12"/>
  <c r="L1326" i="12"/>
  <c r="L1298" i="12"/>
  <c r="L1268" i="12"/>
  <c r="L1243" i="12"/>
  <c r="L1217" i="12"/>
  <c r="L1192" i="12"/>
  <c r="L1166" i="12"/>
  <c r="L1139" i="12"/>
  <c r="L1114" i="12"/>
  <c r="L1087" i="12"/>
  <c r="L1062" i="12"/>
  <c r="L1038" i="12"/>
  <c r="L1013" i="12"/>
  <c r="L991" i="12"/>
  <c r="L970" i="12"/>
  <c r="L943" i="12"/>
  <c r="L922" i="12"/>
  <c r="L903" i="12"/>
  <c r="L881" i="12"/>
  <c r="L863" i="12"/>
  <c r="L845" i="12"/>
  <c r="L823" i="12"/>
  <c r="L806" i="12"/>
  <c r="L787" i="12"/>
  <c r="L766" i="12"/>
  <c r="L748" i="12"/>
  <c r="L730" i="12"/>
  <c r="L709" i="12"/>
  <c r="L690" i="12"/>
  <c r="L673" i="12"/>
  <c r="L651" i="12"/>
  <c r="L632" i="12"/>
  <c r="L615" i="12"/>
  <c r="L594" i="12"/>
  <c r="L578" i="12"/>
  <c r="L560" i="12"/>
  <c r="L544" i="12"/>
  <c r="L526" i="12"/>
  <c r="L508" i="12"/>
  <c r="L491" i="12"/>
  <c r="L474" i="12"/>
  <c r="L458" i="12"/>
  <c r="L439" i="12"/>
  <c r="L423" i="12"/>
  <c r="L407" i="12"/>
  <c r="L392" i="12"/>
  <c r="L377" i="12"/>
  <c r="L361" i="12"/>
  <c r="L344" i="12"/>
  <c r="L329" i="12"/>
  <c r="L314" i="12"/>
  <c r="L298" i="12"/>
  <c r="L282" i="12"/>
  <c r="L266" i="12"/>
  <c r="L250" i="12"/>
  <c r="L235" i="12"/>
  <c r="L220" i="12"/>
  <c r="L204" i="12"/>
  <c r="L189" i="12"/>
  <c r="L175" i="12"/>
  <c r="L161" i="12"/>
  <c r="L19" i="12"/>
  <c r="L33" i="12"/>
  <c r="L48" i="12"/>
  <c r="L63" i="12"/>
  <c r="L77" i="12"/>
  <c r="L91" i="12"/>
  <c r="L105" i="12"/>
  <c r="L120" i="12"/>
  <c r="L135" i="12"/>
  <c r="L150" i="12"/>
  <c r="L170" i="12"/>
  <c r="L191" i="12"/>
  <c r="L211" i="12"/>
  <c r="L236" i="12"/>
  <c r="L259" i="12"/>
  <c r="L284" i="12"/>
  <c r="L310" i="12"/>
  <c r="L338" i="12"/>
  <c r="L365" i="12"/>
  <c r="L391" i="12"/>
  <c r="L418" i="12"/>
  <c r="L447" i="12"/>
  <c r="L475" i="12"/>
  <c r="L505" i="12"/>
  <c r="L534" i="12"/>
  <c r="L565" i="12"/>
  <c r="L593" i="12"/>
  <c r="L627" i="12"/>
  <c r="L661" i="12"/>
  <c r="L691" i="12"/>
  <c r="L723" i="12"/>
  <c r="L759" i="12"/>
  <c r="L791" i="12"/>
  <c r="L822" i="12"/>
  <c r="L857" i="12"/>
  <c r="L891" i="12"/>
  <c r="L927" i="12"/>
  <c r="L974" i="12"/>
  <c r="L1022" i="12"/>
  <c r="L1066" i="12"/>
  <c r="L1118" i="12"/>
  <c r="L1170" i="12"/>
  <c r="L1222" i="12"/>
  <c r="L1275" i="12"/>
  <c r="L1333" i="12"/>
  <c r="L1390" i="12"/>
  <c r="L1454" i="12"/>
  <c r="L1529" i="12"/>
  <c r="L1613" i="12"/>
  <c r="L1700" i="12"/>
  <c r="L1785" i="12"/>
  <c r="L1880" i="12"/>
  <c r="L1977" i="12"/>
  <c r="L2072" i="12"/>
  <c r="L2169" i="12"/>
  <c r="L2264" i="12"/>
  <c r="L2372" i="12"/>
  <c r="L2477" i="12"/>
  <c r="E6" i="11"/>
  <c r="H4" i="12"/>
  <c r="L6" i="12"/>
  <c r="L20" i="12"/>
  <c r="L35" i="12"/>
  <c r="L50" i="12"/>
  <c r="L64" i="12"/>
  <c r="L78" i="12"/>
  <c r="L92" i="12"/>
  <c r="L107" i="12"/>
  <c r="L122" i="12"/>
  <c r="L136" i="12"/>
  <c r="L152" i="12"/>
  <c r="L171" i="12"/>
  <c r="L192" i="12"/>
  <c r="L213" i="12"/>
  <c r="L237" i="12"/>
  <c r="L261" i="12"/>
  <c r="L286" i="12"/>
  <c r="L313" i="12"/>
  <c r="L340" i="12"/>
  <c r="L367" i="12"/>
  <c r="L393" i="12"/>
  <c r="L419" i="12"/>
  <c r="L448" i="12"/>
  <c r="L478" i="12"/>
  <c r="L507" i="12"/>
  <c r="L536" i="12"/>
  <c r="L568" i="12"/>
  <c r="L596" i="12"/>
  <c r="L629" i="12"/>
  <c r="L662" i="12"/>
  <c r="L694" i="12"/>
  <c r="L727" i="12"/>
  <c r="L761" i="12"/>
  <c r="L794" i="12"/>
  <c r="L824" i="12"/>
  <c r="L859" i="12"/>
  <c r="L892" i="12"/>
  <c r="L932" i="12"/>
  <c r="L977" i="12"/>
  <c r="L1024" i="12"/>
  <c r="L1073" i="12"/>
  <c r="L1124" i="12"/>
  <c r="L1178" i="12"/>
  <c r="L1229" i="12"/>
  <c r="L1282" i="12"/>
  <c r="L1339" i="12"/>
  <c r="L1397" i="12"/>
  <c r="L1460" i="12"/>
  <c r="L1541" i="12"/>
  <c r="L1625" i="12"/>
  <c r="L1709" i="12"/>
  <c r="L1797" i="12"/>
  <c r="L1897" i="12"/>
  <c r="L1989" i="12"/>
  <c r="L2089" i="12"/>
  <c r="L2181" i="12"/>
  <c r="L2281" i="12"/>
  <c r="L2384" i="12"/>
  <c r="L2500" i="12"/>
  <c r="J4" i="12"/>
  <c r="L7" i="12"/>
  <c r="L21" i="12"/>
  <c r="L36" i="12"/>
  <c r="L51" i="12"/>
  <c r="L65" i="12"/>
  <c r="L79" i="12"/>
  <c r="L93" i="12"/>
  <c r="L108" i="12"/>
  <c r="L123" i="12"/>
  <c r="L137" i="12"/>
  <c r="L153" i="12"/>
  <c r="L172" i="12"/>
  <c r="L194" i="12"/>
  <c r="L215" i="12"/>
  <c r="L238" i="12"/>
  <c r="L262" i="12"/>
  <c r="L289" i="12"/>
  <c r="L315" i="12"/>
  <c r="L341" i="12"/>
  <c r="L368" i="12"/>
  <c r="L395" i="12"/>
  <c r="L422" i="12"/>
  <c r="L450" i="12"/>
  <c r="L482" i="12"/>
  <c r="L510" i="12"/>
  <c r="L539" i="12"/>
  <c r="L569" i="12"/>
  <c r="L601" i="12"/>
  <c r="L631" i="12"/>
  <c r="L664" i="12"/>
  <c r="L699" i="12"/>
  <c r="L731" i="12"/>
  <c r="L762" i="12"/>
  <c r="L795" i="12"/>
  <c r="L831" i="12"/>
  <c r="L862" i="12"/>
  <c r="L894" i="12"/>
  <c r="L935" i="12"/>
  <c r="L978" i="12"/>
  <c r="L1026" i="12"/>
  <c r="L1074" i="12"/>
  <c r="L1127" i="12"/>
  <c r="L1179" i="12"/>
  <c r="L1230" i="12"/>
  <c r="L1283" i="12"/>
  <c r="L1340" i="12"/>
  <c r="L1398" i="12"/>
  <c r="L1463" i="12"/>
  <c r="L1542" i="12"/>
  <c r="L1626" i="12"/>
  <c r="L1712" i="12"/>
  <c r="L1801" i="12"/>
  <c r="L1898" i="12"/>
  <c r="L1993" i="12"/>
  <c r="L2090" i="12"/>
  <c r="L2185" i="12"/>
  <c r="L2282" i="12"/>
  <c r="L2389" i="12"/>
  <c r="L4" i="12"/>
  <c r="L8" i="12"/>
  <c r="L23" i="12"/>
  <c r="L38" i="12"/>
  <c r="L52" i="12"/>
  <c r="L66" i="12"/>
  <c r="L80" i="12"/>
  <c r="L95" i="12"/>
  <c r="L110" i="12"/>
  <c r="L124" i="12"/>
  <c r="L138" i="12"/>
  <c r="L155" i="12"/>
  <c r="L174" i="12"/>
  <c r="L196" i="12"/>
  <c r="L219" i="12"/>
  <c r="L242" i="12"/>
  <c r="L265" i="12"/>
  <c r="L290" i="12"/>
  <c r="L317" i="12"/>
  <c r="L343" i="12"/>
  <c r="L370" i="12"/>
  <c r="L399" i="12"/>
  <c r="L425" i="12"/>
  <c r="L452" i="12"/>
  <c r="L483" i="12"/>
  <c r="L514" i="12"/>
  <c r="L543" i="12"/>
  <c r="L572" i="12"/>
  <c r="L603" i="12"/>
  <c r="L634" i="12"/>
  <c r="L665" i="12"/>
  <c r="L701" i="12"/>
  <c r="L734" i="12"/>
  <c r="L764" i="12"/>
  <c r="L799" i="12"/>
  <c r="L833" i="12"/>
  <c r="L865" i="12"/>
  <c r="L895" i="12"/>
  <c r="L938" i="12"/>
  <c r="L985" i="12"/>
  <c r="L1028" i="12"/>
  <c r="L1079" i="12"/>
  <c r="L1131" i="12"/>
  <c r="L1182" i="12"/>
  <c r="L1235" i="12"/>
  <c r="L1289" i="12"/>
  <c r="L1347" i="12"/>
  <c r="L1406" i="12"/>
  <c r="L1469" i="12"/>
  <c r="L1549" i="12"/>
  <c r="L1637" i="12"/>
  <c r="L1721" i="12"/>
  <c r="L1813" i="12"/>
  <c r="L1904" i="12"/>
  <c r="L2005" i="12"/>
  <c r="L2096" i="12"/>
  <c r="L2197" i="12"/>
  <c r="L2288" i="12"/>
  <c r="L2401" i="12"/>
  <c r="L9" i="12"/>
  <c r="L24" i="12"/>
  <c r="L39" i="12"/>
  <c r="L53" i="12"/>
  <c r="L67" i="12"/>
  <c r="L81" i="12"/>
  <c r="L96" i="12"/>
  <c r="L111" i="12"/>
  <c r="L125" i="12"/>
  <c r="L139" i="12"/>
  <c r="L156" i="12"/>
  <c r="L176" i="12"/>
  <c r="L197" i="12"/>
  <c r="L221" i="12"/>
  <c r="L243" i="12"/>
  <c r="L268" i="12"/>
  <c r="L292" i="12"/>
  <c r="L320" i="12"/>
  <c r="L346" i="12"/>
  <c r="L373" i="12"/>
  <c r="L400" i="12"/>
  <c r="L428" i="12"/>
  <c r="L457" i="12"/>
  <c r="L486" i="12"/>
  <c r="L517" i="12"/>
  <c r="L545" i="12"/>
  <c r="L574" i="12"/>
  <c r="L604" i="12"/>
  <c r="L637" i="12"/>
  <c r="L670" i="12"/>
  <c r="L703" i="12"/>
  <c r="L736" i="12"/>
  <c r="L767" i="12"/>
  <c r="L802" i="12"/>
  <c r="L834" i="12"/>
  <c r="L867" i="12"/>
  <c r="L901" i="12"/>
  <c r="L940" i="12"/>
  <c r="L987" i="12"/>
  <c r="L1030" i="12"/>
  <c r="L1081" i="12"/>
  <c r="L1132" i="12"/>
  <c r="L1184" i="12"/>
  <c r="L1237" i="12"/>
  <c r="L1290" i="12"/>
  <c r="L1348" i="12"/>
  <c r="L1407" i="12"/>
  <c r="L1470" i="12"/>
  <c r="L1553" i="12"/>
  <c r="L1638" i="12"/>
  <c r="L1722" i="12"/>
  <c r="L1814" i="12"/>
  <c r="L1909" i="12"/>
  <c r="L2006" i="12"/>
  <c r="L2101" i="12"/>
  <c r="L2198" i="12"/>
  <c r="L2293" i="12"/>
  <c r="L2404" i="12"/>
  <c r="L11" i="12"/>
  <c r="L26" i="12"/>
  <c r="L40" i="12"/>
  <c r="L54" i="12"/>
  <c r="L68" i="12"/>
  <c r="L83" i="12"/>
  <c r="L98" i="12"/>
  <c r="L112" i="12"/>
  <c r="L126" i="12"/>
  <c r="L140" i="12"/>
  <c r="L158" i="12"/>
  <c r="L177" i="12"/>
  <c r="L199" i="12"/>
  <c r="L222" i="12"/>
  <c r="L246" i="12"/>
  <c r="L269" i="12"/>
  <c r="L294" i="12"/>
  <c r="L321" i="12"/>
  <c r="L350" i="12"/>
  <c r="L376" i="12"/>
  <c r="L403" i="12"/>
  <c r="L430" i="12"/>
  <c r="L459" i="12"/>
  <c r="L487" i="12"/>
  <c r="L518" i="12"/>
  <c r="L547" i="12"/>
  <c r="L577" i="12"/>
  <c r="L606" i="12"/>
  <c r="L641" i="12"/>
  <c r="L674" i="12"/>
  <c r="L704" i="12"/>
  <c r="L737" i="12"/>
  <c r="L773" i="12"/>
  <c r="L805" i="12"/>
  <c r="L836" i="12"/>
  <c r="L871" i="12"/>
  <c r="L904" i="12"/>
  <c r="L942" i="12"/>
  <c r="L990" i="12"/>
  <c r="L1036" i="12"/>
  <c r="L1084" i="12"/>
  <c r="L1135" i="12"/>
  <c r="L1187" i="12"/>
  <c r="L1239" i="12"/>
  <c r="L1294" i="12"/>
  <c r="L1351" i="12"/>
  <c r="L1410" i="12"/>
  <c r="L1475" i="12"/>
  <c r="L1557" i="12"/>
  <c r="L1641" i="12"/>
  <c r="L1729" i="12"/>
  <c r="L1817" i="12"/>
  <c r="L1914" i="12"/>
  <c r="L2009" i="12"/>
  <c r="L2106" i="12"/>
  <c r="L2201" i="12"/>
  <c r="L2299" i="12"/>
  <c r="L2406" i="12"/>
  <c r="L12" i="12"/>
  <c r="L27" i="12"/>
  <c r="L41" i="12"/>
  <c r="L55" i="12"/>
  <c r="L69" i="12"/>
  <c r="L84" i="12"/>
  <c r="L99" i="12"/>
  <c r="L113" i="12"/>
  <c r="L127" i="12"/>
  <c r="L141" i="12"/>
  <c r="L160" i="12"/>
  <c r="L179" i="12"/>
  <c r="L200" i="12"/>
  <c r="L223" i="12"/>
  <c r="L247" i="12"/>
  <c r="L271" i="12"/>
  <c r="L297" i="12"/>
  <c r="L325" i="12"/>
  <c r="L352" i="12"/>
  <c r="L378" i="12"/>
  <c r="L404" i="12"/>
  <c r="L431" i="12"/>
  <c r="L461" i="12"/>
  <c r="L490" i="12"/>
  <c r="L520" i="12"/>
  <c r="L550" i="12"/>
  <c r="L579" i="12"/>
  <c r="L607" i="12"/>
  <c r="L643" i="12"/>
  <c r="L676" i="12"/>
  <c r="L707" i="12"/>
  <c r="L742" i="12"/>
  <c r="L775" i="12"/>
  <c r="L807" i="12"/>
  <c r="L838" i="12"/>
  <c r="L874" i="12"/>
  <c r="L906" i="12"/>
  <c r="L952" i="12"/>
  <c r="L995" i="12"/>
  <c r="L1043" i="12"/>
  <c r="L1095" i="12"/>
  <c r="L1146" i="12"/>
  <c r="L1199" i="12"/>
  <c r="L1251" i="12"/>
  <c r="L1307" i="12"/>
  <c r="L1364" i="12"/>
  <c r="L1424" i="12"/>
  <c r="L1493" i="12"/>
  <c r="L1577" i="12"/>
  <c r="L1661" i="12"/>
  <c r="L1748" i="12"/>
  <c r="L1837" i="12"/>
  <c r="L1937" i="12"/>
  <c r="L2029" i="12"/>
  <c r="L2129" i="12"/>
  <c r="L2221" i="12"/>
  <c r="L2324" i="12"/>
  <c r="L2429" i="12"/>
  <c r="B8" i="11" l="1"/>
  <c r="B15" i="11"/>
  <c r="B9" i="11"/>
  <c r="B19" i="11"/>
  <c r="B10" i="11"/>
  <c r="B7" i="11"/>
  <c r="B12" i="11"/>
  <c r="B20" i="11"/>
  <c r="B4" i="11"/>
  <c r="B16" i="11"/>
  <c r="B11" i="11"/>
  <c r="B17" i="11"/>
  <c r="B14" i="11"/>
  <c r="B5" i="11"/>
  <c r="B13" i="11"/>
  <c r="B18" i="11"/>
</calcChain>
</file>

<file path=xl/sharedStrings.xml><?xml version="1.0" encoding="utf-8"?>
<sst xmlns="http://schemas.openxmlformats.org/spreadsheetml/2006/main" count="32239" uniqueCount="2071">
  <si>
    <t>Meet</t>
  </si>
  <si>
    <t>Div</t>
  </si>
  <si>
    <t>Score</t>
  </si>
  <si>
    <t>Report Status</t>
  </si>
  <si>
    <t>Meet Comments</t>
  </si>
  <si>
    <t>Max</t>
  </si>
  <si>
    <t>G</t>
  </si>
  <si>
    <t>B</t>
  </si>
  <si>
    <t>Event</t>
  </si>
  <si>
    <t>Row Start</t>
  </si>
  <si>
    <t>Row End</t>
  </si>
  <si>
    <t>vs</t>
  </si>
  <si>
    <t>Senior</t>
  </si>
  <si>
    <r>
      <rPr>
        <b/>
        <sz val="10"/>
        <color rgb="FFFFFFFF"/>
        <rFont val="Arial"/>
      </rPr>
      <t xml:space="preserve">PURPOSE: </t>
    </r>
    <r>
      <rPr>
        <sz val="10"/>
        <color rgb="FFFFFFFF"/>
        <rFont val="Arial"/>
      </rPr>
      <t>DO NOT UPDATE DATA HERE - This information is populated automatically by selecting the "DuplicateMeetSheets" action on AdminDashboard</t>
    </r>
  </si>
  <si>
    <r>
      <rPr>
        <b/>
        <sz val="10"/>
        <color rgb="FFFFFFFF"/>
        <rFont val="Arial"/>
      </rPr>
      <t xml:space="preserve">INSTRUCTIONS: </t>
    </r>
    <r>
      <rPr>
        <sz val="10"/>
        <color rgb="FFFFFFFF"/>
        <rFont val="Arial"/>
      </rPr>
      <t>Once the links to this week's Divisional Reporting files are populated in ColF, confirm that the data looks correct in ColG.</t>
    </r>
  </si>
  <si>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</si>
  <si>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</si>
  <si>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</si>
  <si>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</si>
  <si>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 Confirm below that each of the Divisional Files correctly displays a brief summary of the data indicting that they were created with the correct date and division.</t>
  </si>
  <si>
    <t>MeetResults!$a$1:$u$340</t>
  </si>
  <si>
    <t>143jkOecwPaK3lEaAOkAFHq4C1zVcmLqdYeYVt5p9GiM</t>
  </si>
  <si>
    <t>16cdGZY__6TPeBnE0q6r-K-vXcggI5WCFIs8CbwtjAHw</t>
  </si>
  <si>
    <t>1GQ_vsXVScjB2pMDD2xHcfiRCQWDYS4nH1_chUPtQZno</t>
  </si>
  <si>
    <t>1PAhLxLzjeglXOoW-ygiInGT3vFWkZGhjhxnGbYxHqOM</t>
  </si>
  <si>
    <t>13DbFfSxHe-lZN8pxmW6v4N23RQcmiC6YhW55pJy5qQA</t>
  </si>
  <si>
    <t>1-_WAite0rrAFB1CpokT916XswxZyIR0ByeNjH0MLxig</t>
  </si>
  <si>
    <t>1CX2VLSg37uKjrzsrYdZD6crUz0KJKAHUi_ItIxOb7N8</t>
  </si>
  <si>
    <t>1XQSiLw1GcU5VVBqOpbZk2tmCY7IEwkqRSCMOiWax4z0</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</si>
  <si>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</si>
  <si>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</si>
  <si>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</si>
  <si>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</si>
  <si>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</si>
  <si>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</si>
  <si>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1WvY6S-oVsh4YAeW15chzvtmxCXSLB7_I7Z-EgHKRi9c</t>
  </si>
  <si>
    <t>23.80</t>
  </si>
  <si>
    <t>27.35</t>
  </si>
  <si>
    <t>41.55</t>
  </si>
  <si>
    <t>41.35</t>
  </si>
  <si>
    <t>37.00</t>
  </si>
  <si>
    <t>33.20</t>
  </si>
  <si>
    <t>63.50</t>
  </si>
  <si>
    <t>76.85</t>
  </si>
  <si>
    <t>211.70</t>
  </si>
  <si>
    <t>74.50</t>
  </si>
  <si>
    <t>77.25</t>
  </si>
  <si>
    <t>173.90</t>
  </si>
  <si>
    <t>46.90</t>
  </si>
  <si>
    <t>39.15</t>
  </si>
  <si>
    <t>28.60</t>
  </si>
  <si>
    <t>48.10</t>
  </si>
  <si>
    <t>77.50</t>
  </si>
  <si>
    <t>53.30</t>
  </si>
  <si>
    <t>53.35</t>
  </si>
  <si>
    <t>45.60</t>
  </si>
  <si>
    <t>103.35</t>
  </si>
  <si>
    <t>130.25</t>
  </si>
  <si>
    <t>127.35</t>
  </si>
  <si>
    <t>145.10</t>
  </si>
  <si>
    <t>67.55</t>
  </si>
  <si>
    <t>71.40</t>
  </si>
  <si>
    <t>68.40</t>
  </si>
  <si>
    <t>85.75</t>
  </si>
  <si>
    <t>^</t>
  </si>
  <si>
    <t>61.45</t>
  </si>
  <si>
    <t>76.15</t>
  </si>
  <si>
    <t>78.90</t>
  </si>
  <si>
    <t>97.95</t>
  </si>
  <si>
    <t>121.75</t>
  </si>
  <si>
    <t>157.50</t>
  </si>
  <si>
    <t>131.70</t>
  </si>
  <si>
    <t>111.60</t>
  </si>
  <si>
    <t>20.85</t>
  </si>
  <si>
    <t>51.20</t>
  </si>
  <si>
    <t>55.85</t>
  </si>
  <si>
    <t>50.95</t>
  </si>
  <si>
    <t>28.35</t>
  </si>
  <si>
    <t>48.15</t>
  </si>
  <si>
    <t>34.85</t>
  </si>
  <si>
    <t>99.40</t>
  </si>
  <si>
    <t>93.35</t>
  </si>
  <si>
    <t>86.95</t>
  </si>
  <si>
    <t>64.30</t>
  </si>
  <si>
    <t>67.15</t>
  </si>
  <si>
    <t>94.25</t>
  </si>
  <si>
    <t>88.50</t>
  </si>
  <si>
    <t>77.65</t>
  </si>
  <si>
    <t>124.05</t>
  </si>
  <si>
    <t>190.25</t>
  </si>
  <si>
    <t>25.50</t>
  </si>
  <si>
    <t>28.25</t>
  </si>
  <si>
    <t>21.85</t>
  </si>
  <si>
    <t>34.10</t>
  </si>
  <si>
    <t>23.75</t>
  </si>
  <si>
    <t>32.70</t>
  </si>
  <si>
    <t>57.95</t>
  </si>
  <si>
    <t>14.75</t>
  </si>
  <si>
    <t>43.95</t>
  </si>
  <si>
    <t>130.45</t>
  </si>
  <si>
    <t>118.95</t>
  </si>
  <si>
    <t>100.60</t>
  </si>
  <si>
    <t>66.80</t>
  </si>
  <si>
    <t>107.40</t>
  </si>
  <si>
    <t>164.85</t>
  </si>
  <si>
    <t>169.85</t>
  </si>
  <si>
    <t>132.90</t>
  </si>
  <si>
    <t>31.25</t>
  </si>
  <si>
    <t>38.70</t>
  </si>
  <si>
    <t>66.20</t>
  </si>
  <si>
    <t>112.00</t>
  </si>
  <si>
    <t>100.65</t>
  </si>
  <si>
    <t>113.65</t>
  </si>
  <si>
    <t>92.75</t>
  </si>
  <si>
    <t>78.00</t>
  </si>
  <si>
    <t>88.35</t>
  </si>
  <si>
    <t>88.15</t>
  </si>
  <si>
    <t>59.65</t>
  </si>
  <si>
    <t>82.10</t>
  </si>
  <si>
    <t>57.05</t>
  </si>
  <si>
    <t>169.50</t>
  </si>
  <si>
    <t>146.00</t>
  </si>
  <si>
    <t>153.20</t>
  </si>
  <si>
    <t>98.45</t>
  </si>
  <si>
    <t>51.10</t>
  </si>
  <si>
    <t>81.45</t>
  </si>
  <si>
    <t>41.45</t>
  </si>
  <si>
    <t>51.70</t>
  </si>
  <si>
    <t>59.95</t>
  </si>
  <si>
    <t>149.45</t>
  </si>
  <si>
    <t>191.70</t>
  </si>
  <si>
    <t>80.90</t>
  </si>
  <si>
    <t>75.60</t>
  </si>
  <si>
    <t>103.50</t>
  </si>
  <si>
    <t>43.00</t>
  </si>
  <si>
    <t>149.90</t>
  </si>
  <si>
    <t>31.50</t>
  </si>
  <si>
    <t>64.55</t>
  </si>
  <si>
    <t>36.50</t>
  </si>
  <si>
    <t>25.90</t>
  </si>
  <si>
    <t>53.00</t>
  </si>
  <si>
    <t>46.10</t>
  </si>
  <si>
    <t>34.95</t>
  </si>
  <si>
    <t>35.40</t>
  </si>
  <si>
    <t>39.20</t>
  </si>
  <si>
    <t>72.55</t>
  </si>
  <si>
    <t>60.90</t>
  </si>
  <si>
    <t>38.40</t>
  </si>
  <si>
    <t>150.10</t>
  </si>
  <si>
    <t>92.30</t>
  </si>
  <si>
    <t>104.90</t>
  </si>
  <si>
    <t>90.85</t>
  </si>
  <si>
    <t>112.05</t>
  </si>
  <si>
    <t>136.05</t>
  </si>
  <si>
    <t>87.95</t>
  </si>
  <si>
    <t>84.35</t>
  </si>
  <si>
    <t>95.10</t>
  </si>
  <si>
    <t>71.75</t>
  </si>
  <si>
    <t>99.80</t>
  </si>
  <si>
    <t>70.05</t>
  </si>
  <si>
    <t>115.60</t>
  </si>
  <si>
    <t>40.70</t>
  </si>
  <si>
    <t>44.45</t>
  </si>
  <si>
    <t>50.50</t>
  </si>
  <si>
    <t>53.25</t>
  </si>
  <si>
    <t>33.50</t>
  </si>
  <si>
    <t>71.00</t>
  </si>
  <si>
    <t>130.75</t>
  </si>
  <si>
    <t>180.90</t>
  </si>
  <si>
    <t>81.30</t>
  </si>
  <si>
    <t>109.40</t>
  </si>
  <si>
    <t>64.85</t>
  </si>
  <si>
    <t>61.20</t>
  </si>
  <si>
    <t>48.75</t>
  </si>
  <si>
    <t>102.40</t>
  </si>
  <si>
    <t>113.95</t>
  </si>
  <si>
    <t>120.15</t>
  </si>
  <si>
    <t>161.40</t>
  </si>
  <si>
    <t>142.65</t>
  </si>
  <si>
    <t>64.90</t>
  </si>
  <si>
    <t>49.45</t>
  </si>
  <si>
    <t>33.10</t>
  </si>
  <si>
    <t>55.45</t>
  </si>
  <si>
    <t>68.55</t>
  </si>
  <si>
    <t>50.75</t>
  </si>
  <si>
    <t>32.40</t>
  </si>
  <si>
    <t>105.10</t>
  </si>
  <si>
    <t>111.50</t>
  </si>
  <si>
    <t>105.40</t>
  </si>
  <si>
    <t>81.75</t>
  </si>
  <si>
    <t>87.05</t>
  </si>
  <si>
    <t>61.10</t>
  </si>
  <si>
    <t>102.45</t>
  </si>
  <si>
    <t>153.25</t>
  </si>
  <si>
    <t>156.85</t>
  </si>
  <si>
    <t>228.85</t>
  </si>
  <si>
    <t>52.00</t>
  </si>
  <si>
    <t>41.50</t>
  </si>
  <si>
    <t>64.80</t>
  </si>
  <si>
    <t>30.85</t>
  </si>
  <si>
    <t>28.85</t>
  </si>
  <si>
    <t>54.15</t>
  </si>
  <si>
    <t>48.40</t>
  </si>
  <si>
    <t>53.50</t>
  </si>
  <si>
    <t>53.90</t>
  </si>
  <si>
    <t>75.65</t>
  </si>
  <si>
    <t>139.40</t>
  </si>
  <si>
    <t>145.25</t>
  </si>
  <si>
    <t>119.75</t>
  </si>
  <si>
    <t>107.80</t>
  </si>
  <si>
    <t>97.30</t>
  </si>
  <si>
    <t>120.60</t>
  </si>
  <si>
    <t>101.00</t>
  </si>
  <si>
    <t>89.60</t>
  </si>
  <si>
    <t>85.00</t>
  </si>
  <si>
    <t>73.70</t>
  </si>
  <si>
    <t>156.75</t>
  </si>
  <si>
    <t>91.45</t>
  </si>
  <si>
    <t>96.05</t>
  </si>
  <si>
    <t>61.55</t>
  </si>
  <si>
    <t>85.25</t>
  </si>
  <si>
    <t>83.05</t>
  </si>
  <si>
    <t>142.40</t>
  </si>
  <si>
    <t>206.50</t>
  </si>
  <si>
    <t>129.45</t>
  </si>
  <si>
    <t>47.00</t>
  </si>
  <si>
    <t>57.70</t>
  </si>
  <si>
    <t>24.00</t>
  </si>
  <si>
    <t>37.60</t>
  </si>
  <si>
    <t>83.55</t>
  </si>
  <si>
    <t>144.00</t>
  </si>
  <si>
    <t>132.95</t>
  </si>
  <si>
    <t>86.85</t>
  </si>
  <si>
    <t>80.15</t>
  </si>
  <si>
    <t>88.70</t>
  </si>
  <si>
    <t>87.70</t>
  </si>
  <si>
    <t>92.60</t>
  </si>
  <si>
    <t>73.20</t>
  </si>
  <si>
    <t>100.40</t>
  </si>
  <si>
    <t>122.15</t>
  </si>
  <si>
    <t>151.85</t>
  </si>
  <si>
    <t>135.65</t>
  </si>
  <si>
    <t>206.35</t>
  </si>
  <si>
    <t>113.75</t>
  </si>
  <si>
    <t>212.10</t>
  </si>
  <si>
    <t>204.70</t>
  </si>
  <si>
    <t>39.75</t>
  </si>
  <si>
    <t>42.80</t>
  </si>
  <si>
    <t>34.25</t>
  </si>
  <si>
    <t>78.65</t>
  </si>
  <si>
    <t>36.75</t>
  </si>
  <si>
    <t>56.00</t>
  </si>
  <si>
    <t>74.80</t>
  </si>
  <si>
    <t>35.85</t>
  </si>
  <si>
    <t>32.50</t>
  </si>
  <si>
    <t>65.80</t>
  </si>
  <si>
    <t>96.10</t>
  </si>
  <si>
    <t>91.25</t>
  </si>
  <si>
    <t>63.80</t>
  </si>
  <si>
    <t>81.60</t>
  </si>
  <si>
    <t>82.60</t>
  </si>
  <si>
    <t>39.65</t>
  </si>
  <si>
    <t>67.45</t>
  </si>
  <si>
    <t>79.95</t>
  </si>
  <si>
    <t>135.20</t>
  </si>
  <si>
    <t>147.75</t>
  </si>
  <si>
    <t>113.20</t>
  </si>
  <si>
    <t>58.80</t>
  </si>
  <si>
    <t>225.45</t>
  </si>
  <si>
    <t>60.70</t>
  </si>
  <si>
    <t>33.60</t>
  </si>
  <si>
    <t>29.55</t>
  </si>
  <si>
    <t>112.10</t>
  </si>
  <si>
    <t>116.20</t>
  </si>
  <si>
    <t>58.75</t>
  </si>
  <si>
    <t>81.50</t>
  </si>
  <si>
    <t>104.00</t>
  </si>
  <si>
    <t>100.35</t>
  </si>
  <si>
    <t>59.60</t>
  </si>
  <si>
    <t>102.30</t>
  </si>
  <si>
    <t>115.25</t>
  </si>
  <si>
    <t>194.05</t>
  </si>
  <si>
    <t>176.55</t>
  </si>
  <si>
    <t>159.20</t>
  </si>
  <si>
    <t>168.60</t>
  </si>
  <si>
    <t>234.05</t>
  </si>
  <si>
    <t>281.65</t>
  </si>
  <si>
    <t>32.35</t>
  </si>
  <si>
    <t>32.25</t>
  </si>
  <si>
    <t>55.05</t>
  </si>
  <si>
    <t>12.00</t>
  </si>
  <si>
    <t>34.55</t>
  </si>
  <si>
    <t>45.10</t>
  </si>
  <si>
    <t>17.75</t>
  </si>
  <si>
    <t>14.50</t>
  </si>
  <si>
    <t>19.25</t>
  </si>
  <si>
    <t>36.10</t>
  </si>
  <si>
    <t>44.85</t>
  </si>
  <si>
    <t>31.60</t>
  </si>
  <si>
    <t>42.90</t>
  </si>
  <si>
    <t>37.80</t>
  </si>
  <si>
    <t>26.20</t>
  </si>
  <si>
    <t>60.45</t>
  </si>
  <si>
    <t>DQ</t>
  </si>
  <si>
    <t>101.75</t>
  </si>
  <si>
    <t>89.75</t>
  </si>
  <si>
    <t>65.75</t>
  </si>
  <si>
    <t>72.40</t>
  </si>
  <si>
    <t>48.30</t>
  </si>
  <si>
    <t>64.95</t>
  </si>
  <si>
    <t>22.85</t>
  </si>
  <si>
    <t>75.30</t>
  </si>
  <si>
    <t>148.70</t>
  </si>
  <si>
    <t>120.85</t>
  </si>
  <si>
    <t>47.60</t>
  </si>
  <si>
    <t>47.85</t>
  </si>
  <si>
    <t>63.05</t>
  </si>
  <si>
    <t>29.10</t>
  </si>
  <si>
    <t>32.75</t>
  </si>
  <si>
    <t>47.30</t>
  </si>
  <si>
    <t>51.55</t>
  </si>
  <si>
    <t>45.15</t>
  </si>
  <si>
    <t>34.45</t>
  </si>
  <si>
    <t>39.60</t>
  </si>
  <si>
    <t>127.00</t>
  </si>
  <si>
    <t>100.05</t>
  </si>
  <si>
    <t>96.50</t>
  </si>
  <si>
    <t>82.85</t>
  </si>
  <si>
    <t>112.85</t>
  </si>
  <si>
    <t>151.45</t>
  </si>
  <si>
    <t>133.65</t>
  </si>
  <si>
    <t>167.65</t>
  </si>
  <si>
    <t>147.50</t>
  </si>
  <si>
    <t>195.35</t>
  </si>
  <si>
    <t>43.35</t>
  </si>
  <si>
    <t>53.15</t>
  </si>
  <si>
    <t>39.55</t>
  </si>
  <si>
    <t>16.45</t>
  </si>
  <si>
    <t>35.00</t>
  </si>
  <si>
    <t>24.05</t>
  </si>
  <si>
    <t>42.85</t>
  </si>
  <si>
    <t>35.45</t>
  </si>
  <si>
    <t>23.10</t>
  </si>
  <si>
    <t>27.90</t>
  </si>
  <si>
    <t>15.75</t>
  </si>
  <si>
    <t>5.00</t>
  </si>
  <si>
    <t>21.05</t>
  </si>
  <si>
    <t>28.00</t>
  </si>
  <si>
    <t>40.30</t>
  </si>
  <si>
    <t>56.45</t>
  </si>
  <si>
    <t>91.35</t>
  </si>
  <si>
    <t>90.05</t>
  </si>
  <si>
    <t>88.45</t>
  </si>
  <si>
    <t>51.90</t>
  </si>
  <si>
    <t>73.80</t>
  </si>
  <si>
    <t>67.05</t>
  </si>
  <si>
    <t>61.05</t>
  </si>
  <si>
    <t>88.85</t>
  </si>
  <si>
    <t>89.25</t>
  </si>
  <si>
    <t>106.45</t>
  </si>
  <si>
    <t>82.00</t>
  </si>
  <si>
    <t>97.90</t>
  </si>
  <si>
    <t>221.95</t>
  </si>
  <si>
    <t>138.80</t>
  </si>
  <si>
    <t>136.80</t>
  </si>
  <si>
    <t>40.05</t>
  </si>
  <si>
    <t>57.35</t>
  </si>
  <si>
    <t>52.85</t>
  </si>
  <si>
    <t>51.25</t>
  </si>
  <si>
    <t>98.05</t>
  </si>
  <si>
    <t>102.00</t>
  </si>
  <si>
    <t>78.40</t>
  </si>
  <si>
    <t>139.45</t>
  </si>
  <si>
    <t>89.80</t>
  </si>
  <si>
    <t>132.40</t>
  </si>
  <si>
    <t>72.00</t>
  </si>
  <si>
    <t>59.45</t>
  </si>
  <si>
    <t>87.65</t>
  </si>
  <si>
    <t>70.80</t>
  </si>
  <si>
    <t>43.60</t>
  </si>
  <si>
    <t>130.70</t>
  </si>
  <si>
    <t>122.05</t>
  </si>
  <si>
    <t>91.10</t>
  </si>
  <si>
    <t>147.00</t>
  </si>
  <si>
    <t>33.15</t>
  </si>
  <si>
    <t>34.65</t>
  </si>
  <si>
    <t>53.70</t>
  </si>
  <si>
    <t>71.15</t>
  </si>
  <si>
    <t>49.40</t>
  </si>
  <si>
    <t>15.25</t>
  </si>
  <si>
    <t>8.50</t>
  </si>
  <si>
    <t>105.20</t>
  </si>
  <si>
    <t>107.20</t>
  </si>
  <si>
    <t>74.60</t>
  </si>
  <si>
    <t>72.05</t>
  </si>
  <si>
    <t>92.85</t>
  </si>
  <si>
    <t>196.60</t>
  </si>
  <si>
    <t>196.25</t>
  </si>
  <si>
    <t>143.90</t>
  </si>
  <si>
    <t>42.00</t>
  </si>
  <si>
    <t>25.55</t>
  </si>
  <si>
    <t>23.65</t>
  </si>
  <si>
    <t>34.35</t>
  </si>
  <si>
    <t>39.10</t>
  </si>
  <si>
    <t>29.60</t>
  </si>
  <si>
    <t>66.90</t>
  </si>
  <si>
    <t>38.25</t>
  </si>
  <si>
    <t>32.00</t>
  </si>
  <si>
    <t>20.35</t>
  </si>
  <si>
    <t>48.20</t>
  </si>
  <si>
    <t>137.80</t>
  </si>
  <si>
    <t>104.30</t>
  </si>
  <si>
    <t>109.00</t>
  </si>
  <si>
    <t>114.70</t>
  </si>
  <si>
    <t>167.80</t>
  </si>
  <si>
    <t>122.70</t>
  </si>
  <si>
    <t>149.80</t>
  </si>
  <si>
    <t>131.30</t>
  </si>
  <si>
    <t>120.30</t>
  </si>
  <si>
    <t>67.95</t>
  </si>
  <si>
    <t>156.20</t>
  </si>
  <si>
    <t>96.55</t>
  </si>
  <si>
    <t>34.30</t>
  </si>
  <si>
    <t>79.10</t>
  </si>
  <si>
    <t>48.95</t>
  </si>
  <si>
    <t>38.80</t>
  </si>
  <si>
    <t>65.00</t>
  </si>
  <si>
    <t>50.40</t>
  </si>
  <si>
    <t>53.40</t>
  </si>
  <si>
    <t>39.25</t>
  </si>
  <si>
    <t>45.85</t>
  </si>
  <si>
    <t>29.30</t>
  </si>
  <si>
    <t>100.00</t>
  </si>
  <si>
    <t>86.45</t>
  </si>
  <si>
    <t>97.20</t>
  </si>
  <si>
    <t>97.40</t>
  </si>
  <si>
    <t>69.60</t>
  </si>
  <si>
    <t>85.45</t>
  </si>
  <si>
    <t>90.35</t>
  </si>
  <si>
    <t>196.00</t>
  </si>
  <si>
    <t>190.60</t>
  </si>
  <si>
    <t>114.25</t>
  </si>
  <si>
    <t>193.15</t>
  </si>
  <si>
    <t>166.35</t>
  </si>
  <si>
    <t>209.00</t>
  </si>
  <si>
    <t>30.75</t>
  </si>
  <si>
    <t>37.15</t>
  </si>
  <si>
    <t>49.80</t>
  </si>
  <si>
    <t>45.40</t>
  </si>
  <si>
    <t>16.80</t>
  </si>
  <si>
    <t>44.95</t>
  </si>
  <si>
    <t>104.45</t>
  </si>
  <si>
    <t>120.40</t>
  </si>
  <si>
    <t>122.90</t>
  </si>
  <si>
    <t>128.85</t>
  </si>
  <si>
    <t>83.85</t>
  </si>
  <si>
    <t>81.85</t>
  </si>
  <si>
    <t>98.20</t>
  </si>
  <si>
    <t>70.55</t>
  </si>
  <si>
    <t>178.00</t>
  </si>
  <si>
    <t>281.55</t>
  </si>
  <si>
    <t>159.95</t>
  </si>
  <si>
    <t>238.40</t>
  </si>
  <si>
    <t>38.15</t>
  </si>
  <si>
    <t>63.70</t>
  </si>
  <si>
    <t>7.50</t>
  </si>
  <si>
    <t>35.30</t>
  </si>
  <si>
    <t>107.65</t>
  </si>
  <si>
    <t>118.30</t>
  </si>
  <si>
    <t>116.25</t>
  </si>
  <si>
    <t>55.40</t>
  </si>
  <si>
    <t>82.70</t>
  </si>
  <si>
    <t>71.45</t>
  </si>
  <si>
    <t>63.35</t>
  </si>
  <si>
    <t>62.50</t>
  </si>
  <si>
    <t>215.30</t>
  </si>
  <si>
    <t>258.95</t>
  </si>
  <si>
    <t>188.35</t>
  </si>
  <si>
    <t>35.50</t>
  </si>
  <si>
    <t>58.50</t>
  </si>
  <si>
    <t>74.70</t>
  </si>
  <si>
    <t>18.60</t>
  </si>
  <si>
    <t>62.55</t>
  </si>
  <si>
    <t>37.25</t>
  </si>
  <si>
    <t>17.05</t>
  </si>
  <si>
    <t>89.40</t>
  </si>
  <si>
    <t>77.85</t>
  </si>
  <si>
    <t>155.00</t>
  </si>
  <si>
    <t>23.25</t>
  </si>
  <si>
    <t>49.50</t>
  </si>
  <si>
    <t>11.50</t>
  </si>
  <si>
    <t>12.50</t>
  </si>
  <si>
    <t>50.20</t>
  </si>
  <si>
    <t>38.50</t>
  </si>
  <si>
    <t>43.65</t>
  </si>
  <si>
    <t>136.40</t>
  </si>
  <si>
    <t>108.35</t>
  </si>
  <si>
    <t>74.65</t>
  </si>
  <si>
    <t>64.60</t>
  </si>
  <si>
    <t>122.85</t>
  </si>
  <si>
    <t>125.50</t>
  </si>
  <si>
    <t>105.35</t>
  </si>
  <si>
    <t>148.40</t>
  </si>
  <si>
    <t>19.50</t>
  </si>
  <si>
    <t>22.25</t>
  </si>
  <si>
    <t>57.10</t>
  </si>
  <si>
    <t>28.10</t>
  </si>
  <si>
    <t>26.50</t>
  </si>
  <si>
    <t>38.05</t>
  </si>
  <si>
    <t>54.75</t>
  </si>
  <si>
    <t>45.35</t>
  </si>
  <si>
    <t>10.50</t>
  </si>
  <si>
    <t>100.80</t>
  </si>
  <si>
    <t>84.55</t>
  </si>
  <si>
    <t>91.65</t>
  </si>
  <si>
    <t>105.00</t>
  </si>
  <si>
    <t>77.60</t>
  </si>
  <si>
    <t>164.05</t>
  </si>
  <si>
    <t>144.90</t>
  </si>
  <si>
    <t>56.90</t>
  </si>
  <si>
    <t>70.30</t>
  </si>
  <si>
    <t>70.45</t>
  </si>
  <si>
    <t>36.40</t>
  </si>
  <si>
    <t>118.20</t>
  </si>
  <si>
    <t>197.55</t>
  </si>
  <si>
    <t>102.20</t>
  </si>
  <si>
    <t>118.60</t>
  </si>
  <si>
    <t>112.60</t>
  </si>
  <si>
    <t>90.55</t>
  </si>
  <si>
    <t>90.45</t>
  </si>
  <si>
    <t>85.40</t>
  </si>
  <si>
    <t>107.75</t>
  </si>
  <si>
    <t>81.90</t>
  </si>
  <si>
    <t>70.20</t>
  </si>
  <si>
    <t>127.50</t>
  </si>
  <si>
    <t>108.40</t>
  </si>
  <si>
    <t>249.00</t>
  </si>
  <si>
    <t>158.85</t>
  </si>
  <si>
    <t>183.85</t>
  </si>
  <si>
    <t>176.85</t>
  </si>
  <si>
    <t>141.85</t>
  </si>
  <si>
    <t>17.00</t>
  </si>
  <si>
    <t>46.75</t>
  </si>
  <si>
    <t>57.60</t>
  </si>
  <si>
    <t>21.25</t>
  </si>
  <si>
    <t>36.85</t>
  </si>
  <si>
    <t>49.25</t>
  </si>
  <si>
    <t>76.70</t>
  </si>
  <si>
    <t>77.10</t>
  </si>
  <si>
    <t>70.90</t>
  </si>
  <si>
    <t>57.50</t>
  </si>
  <si>
    <t>50.55</t>
  </si>
  <si>
    <t>78.25</t>
  </si>
  <si>
    <t>124.60</t>
  </si>
  <si>
    <t>101.70</t>
  </si>
  <si>
    <t>80.40</t>
  </si>
  <si>
    <t>123.30</t>
  </si>
  <si>
    <t>91.95</t>
  </si>
  <si>
    <t>83.80</t>
  </si>
  <si>
    <t>86.10</t>
  </si>
  <si>
    <t>98.95</t>
  </si>
  <si>
    <t>60.35</t>
  </si>
  <si>
    <t>109.70</t>
  </si>
  <si>
    <t>198.05</t>
  </si>
  <si>
    <t>175.35</t>
  </si>
  <si>
    <t>127.45</t>
  </si>
  <si>
    <t>242.25</t>
  </si>
  <si>
    <t>211.65</t>
  </si>
  <si>
    <t>220.80</t>
  </si>
  <si>
    <t>36.70</t>
  </si>
  <si>
    <t>29.75</t>
  </si>
  <si>
    <t>33.65</t>
  </si>
  <si>
    <t>31.20</t>
  </si>
  <si>
    <t>36.95</t>
  </si>
  <si>
    <t>10.00</t>
  </si>
  <si>
    <t>8.75</t>
  </si>
  <si>
    <t>71.95</t>
  </si>
  <si>
    <t>90.00</t>
  </si>
  <si>
    <t>140.50</t>
  </si>
  <si>
    <t>60.85</t>
  </si>
  <si>
    <t>74.85</t>
  </si>
  <si>
    <t>43.70</t>
  </si>
  <si>
    <t>130.20</t>
  </si>
  <si>
    <t>45.65</t>
  </si>
  <si>
    <t>30.40</t>
  </si>
  <si>
    <t>57.15</t>
  </si>
  <si>
    <t>47.25</t>
  </si>
  <si>
    <t>92.35</t>
  </si>
  <si>
    <t>52.15</t>
  </si>
  <si>
    <t>54.35</t>
  </si>
  <si>
    <t>25.60</t>
  </si>
  <si>
    <t>72.20</t>
  </si>
  <si>
    <t>36.20</t>
  </si>
  <si>
    <t>79.65</t>
  </si>
  <si>
    <t>127.20</t>
  </si>
  <si>
    <t>97.25</t>
  </si>
  <si>
    <t>146.65</t>
  </si>
  <si>
    <t>103.30</t>
  </si>
  <si>
    <t>60.10</t>
  </si>
  <si>
    <t>57.80</t>
  </si>
  <si>
    <t>75.25</t>
  </si>
  <si>
    <t>63.65</t>
  </si>
  <si>
    <t>86.70</t>
  </si>
  <si>
    <t>151.55</t>
  </si>
  <si>
    <t>110.85</t>
  </si>
  <si>
    <t>68.00</t>
  </si>
  <si>
    <t>44.80</t>
  </si>
  <si>
    <t>54.45</t>
  </si>
  <si>
    <t>63.40</t>
  </si>
  <si>
    <t>42.55</t>
  </si>
  <si>
    <t>41.40</t>
  </si>
  <si>
    <t>76.05</t>
  </si>
  <si>
    <t>63.30</t>
  </si>
  <si>
    <t>109.55</t>
  </si>
  <si>
    <t>144.05</t>
  </si>
  <si>
    <t>105.85</t>
  </si>
  <si>
    <t>81.20</t>
  </si>
  <si>
    <t>68.75</t>
  </si>
  <si>
    <t>59.25</t>
  </si>
  <si>
    <t>69.45</t>
  </si>
  <si>
    <t>151.10</t>
  </si>
  <si>
    <t>181.25</t>
  </si>
  <si>
    <t>169.70</t>
  </si>
  <si>
    <t>55.50</t>
  </si>
  <si>
    <t>12.25</t>
  </si>
  <si>
    <t>50.80</t>
  </si>
  <si>
    <t>41.95</t>
  </si>
  <si>
    <t>43.75</t>
  </si>
  <si>
    <t>55.15</t>
  </si>
  <si>
    <t>94.30</t>
  </si>
  <si>
    <t>60.95</t>
  </si>
  <si>
    <t>74.55</t>
  </si>
  <si>
    <t>36.30</t>
  </si>
  <si>
    <t>39.45</t>
  </si>
  <si>
    <t>67.65</t>
  </si>
  <si>
    <t>47.75</t>
  </si>
  <si>
    <t>33.30</t>
  </si>
  <si>
    <t>99.05</t>
  </si>
  <si>
    <t>54.25</t>
  </si>
  <si>
    <t>111.65</t>
  </si>
  <si>
    <t>87.00</t>
  </si>
  <si>
    <t>90.65</t>
  </si>
  <si>
    <t>79.15</t>
  </si>
  <si>
    <t>88.25</t>
  </si>
  <si>
    <t>159.10</t>
  </si>
  <si>
    <t>173.60</t>
  </si>
  <si>
    <t>154.70</t>
  </si>
  <si>
    <t>36.55</t>
  </si>
  <si>
    <t>27.05</t>
  </si>
  <si>
    <t>53.75</t>
  </si>
  <si>
    <t>40.80</t>
  </si>
  <si>
    <t>40.50</t>
  </si>
  <si>
    <t>174.35</t>
  </si>
  <si>
    <t>133.70</t>
  </si>
  <si>
    <t>87.30</t>
  </si>
  <si>
    <t>71.85</t>
  </si>
  <si>
    <t>70.95</t>
  </si>
  <si>
    <t>82.30</t>
  </si>
  <si>
    <t>58.15</t>
  </si>
  <si>
    <t>58.90</t>
  </si>
  <si>
    <t>117.55</t>
  </si>
  <si>
    <t>128.75</t>
  </si>
  <si>
    <t>116.95</t>
  </si>
  <si>
    <t>44.25</t>
  </si>
  <si>
    <t>39.85</t>
  </si>
  <si>
    <t>46.70</t>
  </si>
  <si>
    <t>40.35</t>
  </si>
  <si>
    <t>107.10</t>
  </si>
  <si>
    <t>110.10</t>
  </si>
  <si>
    <t>88.40</t>
  </si>
  <si>
    <t>74.75</t>
  </si>
  <si>
    <t>74.20</t>
  </si>
  <si>
    <t>104.80</t>
  </si>
  <si>
    <t>116.40</t>
  </si>
  <si>
    <t>20.50</t>
  </si>
  <si>
    <t>36.45</t>
  </si>
  <si>
    <t>42.30</t>
  </si>
  <si>
    <t>29.65</t>
  </si>
  <si>
    <t>24.65</t>
  </si>
  <si>
    <t>51.15</t>
  </si>
  <si>
    <t>64.20</t>
  </si>
  <si>
    <t>84.50</t>
  </si>
  <si>
    <t>125.90</t>
  </si>
  <si>
    <t>97.75</t>
  </si>
  <si>
    <t>112.30</t>
  </si>
  <si>
    <t>77.70</t>
  </si>
  <si>
    <t>82.80</t>
  </si>
  <si>
    <t>116.60</t>
  </si>
  <si>
    <t>80.60</t>
  </si>
  <si>
    <t>69.90</t>
  </si>
  <si>
    <t>48.60</t>
  </si>
  <si>
    <t>74.90</t>
  </si>
  <si>
    <t>54.65</t>
  </si>
  <si>
    <t>86.40</t>
  </si>
  <si>
    <t>109.30</t>
  </si>
  <si>
    <t>140.45</t>
  </si>
  <si>
    <t>134.80</t>
  </si>
  <si>
    <t>24.50</t>
  </si>
  <si>
    <t>35.60</t>
  </si>
  <si>
    <t>57.85</t>
  </si>
  <si>
    <t>23.00</t>
  </si>
  <si>
    <t>122.00</t>
  </si>
  <si>
    <t>256.20</t>
  </si>
  <si>
    <t>85.30</t>
  </si>
  <si>
    <t>90.20</t>
  </si>
  <si>
    <t>83.15</t>
  </si>
  <si>
    <t>153.95</t>
  </si>
  <si>
    <t>79.60</t>
  </si>
  <si>
    <t>133.35</t>
  </si>
  <si>
    <t>158.95</t>
  </si>
  <si>
    <t>152.95</t>
  </si>
  <si>
    <t>15.00</t>
  </si>
  <si>
    <t>17.60</t>
  </si>
  <si>
    <t>57.40</t>
  </si>
  <si>
    <t>28.15</t>
  </si>
  <si>
    <t>40.95</t>
  </si>
  <si>
    <t>30.55</t>
  </si>
  <si>
    <t>46.15</t>
  </si>
  <si>
    <t>52.45</t>
  </si>
  <si>
    <t>88.95</t>
  </si>
  <si>
    <t>28.95</t>
  </si>
  <si>
    <t>62.85</t>
  </si>
  <si>
    <t>32.15</t>
  </si>
  <si>
    <t>22.40</t>
  </si>
  <si>
    <t>49.90</t>
  </si>
  <si>
    <t>137.55</t>
  </si>
  <si>
    <t>37.45</t>
  </si>
  <si>
    <t>43.15</t>
  </si>
  <si>
    <t>93.90</t>
  </si>
  <si>
    <t>30.50</t>
  </si>
  <si>
    <t>97.55</t>
  </si>
  <si>
    <t>126.70</t>
  </si>
  <si>
    <t>142.35</t>
  </si>
  <si>
    <t>113.10</t>
  </si>
  <si>
    <t>95.75</t>
  </si>
  <si>
    <t>139.00</t>
  </si>
  <si>
    <t>55.30</t>
  </si>
  <si>
    <t>26.60</t>
  </si>
  <si>
    <t>35.05</t>
  </si>
  <si>
    <t>31.40</t>
  </si>
  <si>
    <t>58.30</t>
  </si>
  <si>
    <t>77.90</t>
  </si>
  <si>
    <t>60.60</t>
  </si>
  <si>
    <t>40.55</t>
  </si>
  <si>
    <t>48.90</t>
  </si>
  <si>
    <t>66.00</t>
  </si>
  <si>
    <t>62.40</t>
  </si>
  <si>
    <t>81.35</t>
  </si>
  <si>
    <t>115.90</t>
  </si>
  <si>
    <t>68.95</t>
  </si>
  <si>
    <t>77.75</t>
  </si>
  <si>
    <t>95.85</t>
  </si>
  <si>
    <t>143.25</t>
  </si>
  <si>
    <t>40.90</t>
  </si>
  <si>
    <t>85.50</t>
  </si>
  <si>
    <t>60.75</t>
  </si>
  <si>
    <t>165.20</t>
  </si>
  <si>
    <t>183.25</t>
  </si>
  <si>
    <t>159.70</t>
  </si>
  <si>
    <t>179.50</t>
  </si>
  <si>
    <t>173.25</t>
  </si>
  <si>
    <t>16.00</t>
  </si>
  <si>
    <t>59.75</t>
  </si>
  <si>
    <t>50.85</t>
  </si>
  <si>
    <t>40.20</t>
  </si>
  <si>
    <t>41.30</t>
  </si>
  <si>
    <t>31.05</t>
  </si>
  <si>
    <t>26.30</t>
  </si>
  <si>
    <t>91.85</t>
  </si>
  <si>
    <t>84.20</t>
  </si>
  <si>
    <t>73.85</t>
  </si>
  <si>
    <t>80.10</t>
  </si>
  <si>
    <t>43.45</t>
  </si>
  <si>
    <t>54.00</t>
  </si>
  <si>
    <t>16.65</t>
  </si>
  <si>
    <t>46.80</t>
  </si>
  <si>
    <t>62.35</t>
  </si>
  <si>
    <t>21.70</t>
  </si>
  <si>
    <t>47.70</t>
  </si>
  <si>
    <t>83.25</t>
  </si>
  <si>
    <t>73.05</t>
  </si>
  <si>
    <t>86.75</t>
  </si>
  <si>
    <t>67.30</t>
  </si>
  <si>
    <t>92.80</t>
  </si>
  <si>
    <t>61.80</t>
  </si>
  <si>
    <t>56.10</t>
  </si>
  <si>
    <t>32.20</t>
  </si>
  <si>
    <t>70.00</t>
  </si>
  <si>
    <t>60.65</t>
  </si>
  <si>
    <t>54.60</t>
  </si>
  <si>
    <t>52.30</t>
  </si>
  <si>
    <t>119.30</t>
  </si>
  <si>
    <t>141.20</t>
  </si>
  <si>
    <t>128.95</t>
  </si>
  <si>
    <t>117.25</t>
  </si>
  <si>
    <t>66.35</t>
  </si>
  <si>
    <t>87.55</t>
  </si>
  <si>
    <t>85.70</t>
  </si>
  <si>
    <t>41.20</t>
  </si>
  <si>
    <t>56.30</t>
  </si>
  <si>
    <t>128.00</t>
  </si>
  <si>
    <t>123.85</t>
  </si>
  <si>
    <t>89.10</t>
  </si>
  <si>
    <t>123.50</t>
  </si>
  <si>
    <t>168.35</t>
  </si>
  <si>
    <t>54.70</t>
  </si>
  <si>
    <t>75.80</t>
  </si>
  <si>
    <t>99.25</t>
  </si>
  <si>
    <t>206.60</t>
  </si>
  <si>
    <t>72.95</t>
  </si>
  <si>
    <t>116.45</t>
  </si>
  <si>
    <t>79.70</t>
  </si>
  <si>
    <t>84.00</t>
  </si>
  <si>
    <t>137.40</t>
  </si>
  <si>
    <t>215.55</t>
  </si>
  <si>
    <t>286.40</t>
  </si>
  <si>
    <t>223.85</t>
  </si>
  <si>
    <t>59.10</t>
  </si>
  <si>
    <t>49.15</t>
  </si>
  <si>
    <t>62.25</t>
  </si>
  <si>
    <t>59.15</t>
  </si>
  <si>
    <t>51.30</t>
  </si>
  <si>
    <t>76.35</t>
  </si>
  <si>
    <t>82.90</t>
  </si>
  <si>
    <t>117.95</t>
  </si>
  <si>
    <t>59.35</t>
  </si>
  <si>
    <t>88.20</t>
  </si>
  <si>
    <t>68.45</t>
  </si>
  <si>
    <t>65.40</t>
  </si>
  <si>
    <t>62.00</t>
  </si>
  <si>
    <t>150.20</t>
  </si>
  <si>
    <t>130.95</t>
  </si>
  <si>
    <t>95.65</t>
  </si>
  <si>
    <t>27.70</t>
  </si>
  <si>
    <t>43.25</t>
  </si>
  <si>
    <t>54.10</t>
  </si>
  <si>
    <t>41.90</t>
  </si>
  <si>
    <t>45.20</t>
  </si>
  <si>
    <t>76.30</t>
  </si>
  <si>
    <t>83.40</t>
  </si>
  <si>
    <t>129.95</t>
  </si>
  <si>
    <t>108.00</t>
  </si>
  <si>
    <t>134.70</t>
  </si>
  <si>
    <t>138.60</t>
  </si>
  <si>
    <t>42.35</t>
  </si>
  <si>
    <t>53.10</t>
  </si>
  <si>
    <t>63.95</t>
  </si>
  <si>
    <t>35.95</t>
  </si>
  <si>
    <t>110.90</t>
  </si>
  <si>
    <t>115.65</t>
  </si>
  <si>
    <t>151.95</t>
  </si>
  <si>
    <t>167.15</t>
  </si>
  <si>
    <t>129.25</t>
  </si>
  <si>
    <t>113.85</t>
  </si>
  <si>
    <t>161.50</t>
  </si>
  <si>
    <t>176.95</t>
  </si>
  <si>
    <t>106.75</t>
  </si>
  <si>
    <t>108.45</t>
  </si>
  <si>
    <t>NVSL DIVING DUAL-MEET RESULTS SCOREBOARD FOR 6/18/2024</t>
  </si>
  <si>
    <t>Home Team</t>
  </si>
  <si>
    <t>Visiting Team</t>
  </si>
  <si>
    <t>F-Fairfax</t>
  </si>
  <si>
    <t>DR-Donaldson Run</t>
  </si>
  <si>
    <t>10-Finalized</t>
  </si>
  <si>
    <t>OKM-Old Keene Mill</t>
  </si>
  <si>
    <t>OAK-Oakton</t>
  </si>
  <si>
    <t>VW-Vienna Woods</t>
  </si>
  <si>
    <t>O-Overlee</t>
  </si>
  <si>
    <t>KG-Kent Gardens</t>
  </si>
  <si>
    <t>HS-Highlands Swim</t>
  </si>
  <si>
    <t>RH-Rolling Hills</t>
  </si>
  <si>
    <t>HV-Hunt Valley</t>
  </si>
  <si>
    <t>SHR-Sleepy Hollow Rec</t>
  </si>
  <si>
    <t>DH-Dominion Hills</t>
  </si>
  <si>
    <t>LG-Lee Graham</t>
  </si>
  <si>
    <t>G-Greenbriar</t>
  </si>
  <si>
    <t>FS-Fairfax Station</t>
  </si>
  <si>
    <t>WG-Walden Glen</t>
  </si>
  <si>
    <t>DL-Dunn Loring</t>
  </si>
  <si>
    <t>PAR-Parliament</t>
  </si>
  <si>
    <t>HP-Highland Park</t>
  </si>
  <si>
    <t>THA-Truro Homes Association</t>
  </si>
  <si>
    <t>CB-Chesterbrook</t>
  </si>
  <si>
    <t>HF-Hayfield Farm</t>
  </si>
  <si>
    <t>GF-Great Falls</t>
  </si>
  <si>
    <t>W-Woodley</t>
  </si>
  <si>
    <t>CP-Crosspointe</t>
  </si>
  <si>
    <t>CCC-Camelot Community Club</t>
  </si>
  <si>
    <t>R-Ravensworth Farm</t>
  </si>
  <si>
    <t>CH-Cardinal Hill</t>
  </si>
  <si>
    <t>SR-Sideburn Run</t>
  </si>
  <si>
    <t>LV-Lakeview</t>
  </si>
  <si>
    <t>MHC-Mansion House</t>
  </si>
  <si>
    <t>SHB-Sleepy Hollow Bath</t>
  </si>
  <si>
    <t>WC-Wakefield Chapel</t>
  </si>
  <si>
    <t>T-Tuckahoe</t>
  </si>
  <si>
    <t>M-Mantua</t>
  </si>
  <si>
    <t>PL-Parklawn</t>
  </si>
  <si>
    <t>RFD-Rutherford</t>
  </si>
  <si>
    <t>AF-Arlington Forest</t>
  </si>
  <si>
    <t>A-Annandale</t>
  </si>
  <si>
    <t>NS-North Springfield</t>
  </si>
  <si>
    <t>CSC-Commonwealth Swim Club</t>
  </si>
  <si>
    <t>S-Springfield</t>
  </si>
  <si>
    <t>OH-Orange Hunt</t>
  </si>
  <si>
    <t>SB-Springboard Recreation Club</t>
  </si>
  <si>
    <t>D8</t>
  </si>
  <si>
    <t>HSC-Hamlet Swim Club</t>
  </si>
  <si>
    <t>SRA-Stratford Rec Association</t>
  </si>
  <si>
    <t>PC-Pinecrest</t>
  </si>
  <si>
    <t>IC-Ilda Community</t>
  </si>
  <si>
    <t>NVSL DIVING MEET RESULTS</t>
  </si>
  <si>
    <t>Results Form #</t>
  </si>
  <si>
    <t>Date</t>
  </si>
  <si>
    <t>* These results are calculated automatically and are non-editable</t>
  </si>
  <si>
    <t>F</t>
  </si>
  <si>
    <t>DR</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</si>
  <si>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</si>
  <si>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</si>
  <si>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</si>
  <si>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</si>
  <si>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</si>
  <si>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</si>
  <si>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</si>
  <si>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</si>
  <si>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</si>
  <si>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</si>
  <si>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</si>
  <si>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</si>
  <si>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</si>
  <si>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</si>
  <si>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</si>
  <si>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</si>
  <si>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</si>
  <si>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</si>
  <si>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</si>
  <si>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</si>
  <si>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</si>
  <si>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Finley McDonnell</t>
  </si>
  <si>
    <t>Connor Barron</t>
  </si>
  <si>
    <t>Brynn Strano</t>
  </si>
  <si>
    <t>Will McCool</t>
  </si>
  <si>
    <t>Rosalie Fitzgerald</t>
  </si>
  <si>
    <t>Markus Krumins</t>
  </si>
  <si>
    <t>Callie Moriarty</t>
  </si>
  <si>
    <t>Luke Brannan</t>
  </si>
  <si>
    <t>Ava Patel</t>
  </si>
  <si>
    <t>Jasper Carpenter</t>
  </si>
  <si>
    <t>Elanor Fitzgerald</t>
  </si>
  <si>
    <t>Hunter Simms</t>
  </si>
  <si>
    <t>Valerie Devlin</t>
  </si>
  <si>
    <t>Kate Edgerton</t>
  </si>
  <si>
    <t>Paige Lobue</t>
  </si>
  <si>
    <t>Mila Farahi</t>
  </si>
  <si>
    <t>Freshman Girls TOTALS</t>
  </si>
  <si>
    <t>Freshman Boys TOTALS</t>
  </si>
  <si>
    <t>Pippa Chin-Fatt</t>
  </si>
  <si>
    <t>Trey McIntosh</t>
  </si>
  <si>
    <t>Alex Klimek</t>
  </si>
  <si>
    <t>Peyton Farahi</t>
  </si>
  <si>
    <t>Lily Carpenter</t>
  </si>
  <si>
    <t>Jack Taylor</t>
  </si>
  <si>
    <t>Makayla Barnes</t>
  </si>
  <si>
    <t>Christopher Barron</t>
  </si>
  <si>
    <t>Ivy Thompson</t>
  </si>
  <si>
    <t>Ravi Martinez</t>
  </si>
  <si>
    <t>Emma Strano</t>
  </si>
  <si>
    <t>Tommy Edgerton</t>
  </si>
  <si>
    <t>Jules Olsen</t>
  </si>
  <si>
    <t>Miles Hacker</t>
  </si>
  <si>
    <t>Philip Bastow</t>
  </si>
  <si>
    <t>Junior Girls TOTALS</t>
  </si>
  <si>
    <t>Junior Boys TOTALS</t>
  </si>
  <si>
    <t>Lily Klein</t>
  </si>
  <si>
    <t>Eli Chin-Fatt</t>
  </si>
  <si>
    <t>Cally Codding</t>
  </si>
  <si>
    <t>Todd Orvald</t>
  </si>
  <si>
    <t>Taylor McDonnell</t>
  </si>
  <si>
    <t>Jack Englerth</t>
  </si>
  <si>
    <t>Carleigh Devlin</t>
  </si>
  <si>
    <t>Jett Bastow</t>
  </si>
  <si>
    <t>Vikram Martinez</t>
  </si>
  <si>
    <t>Michael Staren</t>
  </si>
  <si>
    <t>John Zhu</t>
  </si>
  <si>
    <t>Intermediate Girls TOTALS</t>
  </si>
  <si>
    <t>Intermediate Boys TOTALS</t>
  </si>
  <si>
    <t>Olivia Roca</t>
  </si>
  <si>
    <t>Cody Schneider</t>
  </si>
  <si>
    <t>Lyla Devlin</t>
  </si>
  <si>
    <t>Jack Reed</t>
  </si>
  <si>
    <t>Jenna Sheetz</t>
  </si>
  <si>
    <t>Sawyer Andrews</t>
  </si>
  <si>
    <t>Madeleine Devlin</t>
  </si>
  <si>
    <t>Sam Mulchandani</t>
  </si>
  <si>
    <t>Charlie Colwill</t>
  </si>
  <si>
    <t>Senior Girls TOTALS</t>
  </si>
  <si>
    <t>Senior Boys TOTALS</t>
  </si>
  <si>
    <t>Judges</t>
  </si>
  <si>
    <t>Referee</t>
  </si>
  <si>
    <t>Dawn Dempster</t>
  </si>
  <si>
    <t>Ellie Codding, Ric Roca, Dan Thompson, Jennifer Mulchandani, Kelcey Moriarty</t>
  </si>
  <si>
    <t>Meet Secretary</t>
  </si>
  <si>
    <t>Mary Stinnett</t>
  </si>
  <si>
    <t>Home Team Secretary</t>
  </si>
  <si>
    <t>Visiting Team Secretary</t>
  </si>
  <si>
    <t>Sarah McDonnell</t>
  </si>
  <si>
    <t>Home Team Comments</t>
  </si>
  <si>
    <t>Visiting Team Comments</t>
  </si>
  <si>
    <t>OKM</t>
  </si>
  <si>
    <t>OAK</t>
  </si>
  <si>
    <t>Sophia Blanco</t>
  </si>
  <si>
    <t>Tyler Kroopnick</t>
  </si>
  <si>
    <t>Anna Shrieves</t>
  </si>
  <si>
    <t>Brian Stegmaier</t>
  </si>
  <si>
    <t>Chloe Sanglier</t>
  </si>
  <si>
    <t>Justin Kroopnick</t>
  </si>
  <si>
    <t>Isla-Kate Reese</t>
  </si>
  <si>
    <t>Gabe Wilson</t>
  </si>
  <si>
    <t>Quinn Thomas</t>
  </si>
  <si>
    <t>T5</t>
  </si>
  <si>
    <t>Grayson DeMark</t>
  </si>
  <si>
    <t>Nyah Smith</t>
  </si>
  <si>
    <t>Owen McLenahan</t>
  </si>
  <si>
    <t>Katherine Emerick</t>
  </si>
  <si>
    <t>Patrick Walsh</t>
  </si>
  <si>
    <t>Johanna Thoms</t>
  </si>
  <si>
    <t>Tobin Ham</t>
  </si>
  <si>
    <t>Caitlin Martin</t>
  </si>
  <si>
    <t>David Rhea</t>
  </si>
  <si>
    <t>Alex Shrieves</t>
  </si>
  <si>
    <t>Graham Evans</t>
  </si>
  <si>
    <t>Elizabeth Abels</t>
  </si>
  <si>
    <t>Andrew Werlinger</t>
  </si>
  <si>
    <t>Hannah Berthe</t>
  </si>
  <si>
    <t>Michael Warner</t>
  </si>
  <si>
    <t>Harper Fried</t>
  </si>
  <si>
    <t>Eloise Berthe</t>
  </si>
  <si>
    <t>Alice Henderson</t>
  </si>
  <si>
    <t>Simone Wilson</t>
  </si>
  <si>
    <t>Jake Conques</t>
  </si>
  <si>
    <t>Mallory Brown</t>
  </si>
  <si>
    <t>Henry Chang</t>
  </si>
  <si>
    <t>Lauren Emerick</t>
  </si>
  <si>
    <t>Reed Conques</t>
  </si>
  <si>
    <t>Quinn McManus</t>
  </si>
  <si>
    <t>Jameson Ham</t>
  </si>
  <si>
    <t>Paige Randall</t>
  </si>
  <si>
    <t>Brayden Lane</t>
  </si>
  <si>
    <t>Alexandra Bagully</t>
  </si>
  <si>
    <t>Cailee Kaiser</t>
  </si>
  <si>
    <t>Caroline Copes</t>
  </si>
  <si>
    <t>Caleb McManus</t>
  </si>
  <si>
    <t>Charlotte Henderson</t>
  </si>
  <si>
    <t>Connor Timm</t>
  </si>
  <si>
    <t>Taryn Kaiser</t>
  </si>
  <si>
    <t>Treyton Green</t>
  </si>
  <si>
    <t>Ella Henderson</t>
  </si>
  <si>
    <t>Sam Zarechnak</t>
  </si>
  <si>
    <t>Madelyn Speed</t>
  </si>
  <si>
    <t>Alex Negron</t>
  </si>
  <si>
    <t>Isabelle Whang</t>
  </si>
  <si>
    <t>Brendan Doe</t>
  </si>
  <si>
    <t>Kayla Knight</t>
  </si>
  <si>
    <t>Thibault Lede</t>
  </si>
  <si>
    <t>Rachael Pulice</t>
  </si>
  <si>
    <t>Jon Anthony Montel</t>
  </si>
  <si>
    <t>Shannon Stegmaier</t>
  </si>
  <si>
    <t>Zavier Green</t>
  </si>
  <si>
    <t>Samantha Kluger</t>
  </si>
  <si>
    <t>Kendall Arnz</t>
  </si>
  <si>
    <t>Freya Griffiths</t>
  </si>
  <si>
    <t>Lee Bowersox</t>
  </si>
  <si>
    <t xml:space="preserve">Lee Bowersox, Jen Doe, Gaelle Lede, Sania Dhond, Sophie Dennison-Gibby </t>
  </si>
  <si>
    <t>Sean Stegmaier</t>
  </si>
  <si>
    <t>Diana Blanco</t>
  </si>
  <si>
    <t>VW</t>
  </si>
  <si>
    <t>O</t>
  </si>
  <si>
    <t>Savannah Barry</t>
  </si>
  <si>
    <t>Cooper Morschauser</t>
  </si>
  <si>
    <t>Liliana Cappoli</t>
  </si>
  <si>
    <t>Blaise Hawley</t>
  </si>
  <si>
    <t>Kaitlyn Kimmitt</t>
  </si>
  <si>
    <t>Zachary Yen</t>
  </si>
  <si>
    <t>Addie Gaylor</t>
  </si>
  <si>
    <t>Eleanor Brown</t>
  </si>
  <si>
    <t>Erin Lee</t>
  </si>
  <si>
    <t>Kylie O'Brien</t>
  </si>
  <si>
    <t>Perrin Malko</t>
  </si>
  <si>
    <t>Audrey Mitchell</t>
  </si>
  <si>
    <t>Lillian Morschauser</t>
  </si>
  <si>
    <t>Eleanor Chang</t>
  </si>
  <si>
    <t>Tyler Brown</t>
  </si>
  <si>
    <t>McKay Deegan</t>
  </si>
  <si>
    <t>Elijah Hawley</t>
  </si>
  <si>
    <t>Mackenzie Karrels</t>
  </si>
  <si>
    <t>Archer Kouhestani</t>
  </si>
  <si>
    <t>Emme Waltrup</t>
  </si>
  <si>
    <t>Carter Williams</t>
  </si>
  <si>
    <t>Greta Bowser</t>
  </si>
  <si>
    <t>Kenly McAllister</t>
  </si>
  <si>
    <t>Ruthie Gaffney</t>
  </si>
  <si>
    <t>Claire Keating</t>
  </si>
  <si>
    <t>Sofia Gyor</t>
  </si>
  <si>
    <t>Bodhi Tam</t>
  </si>
  <si>
    <t>CiCi Yen</t>
  </si>
  <si>
    <t>Peyton Reed</t>
  </si>
  <si>
    <t>Scarlett Waltrup</t>
  </si>
  <si>
    <t>Mount Richmond</t>
  </si>
  <si>
    <t>Anna Dober</t>
  </si>
  <si>
    <t>Haynes Deegan</t>
  </si>
  <si>
    <t>Samantha Hobbs</t>
  </si>
  <si>
    <t>Skylar Harris</t>
  </si>
  <si>
    <t>Michayla Eisenberg</t>
  </si>
  <si>
    <t>Ivor Brown</t>
  </si>
  <si>
    <t>Stella Barclay</t>
  </si>
  <si>
    <t>Nick Wanzer</t>
  </si>
  <si>
    <t>Sophie Deegan</t>
  </si>
  <si>
    <t>Dylan Paci</t>
  </si>
  <si>
    <t>Sophie Bourdelais</t>
  </si>
  <si>
    <t>Nate Cohen</t>
  </si>
  <si>
    <t>Amelia Buczek</t>
  </si>
  <si>
    <t>Nick Tressler</t>
  </si>
  <si>
    <t>Georgi Malko</t>
  </si>
  <si>
    <t>Noah Paci</t>
  </si>
  <si>
    <t>Elaine Reed, Nancy Wanzer, Shalla Ross/ Annie Yan (Seniors only), Katie McAllister, Tracy Tressler</t>
  </si>
  <si>
    <t>Rachel Paci</t>
  </si>
  <si>
    <t>Deb Cohen</t>
  </si>
  <si>
    <t>KG</t>
  </si>
  <si>
    <t>HS</t>
  </si>
  <si>
    <t>Holly Denniston</t>
  </si>
  <si>
    <t>John Berik</t>
  </si>
  <si>
    <t>Norah Wittman</t>
  </si>
  <si>
    <t>Siddharth Chandran</t>
  </si>
  <si>
    <t>Gracie Weide</t>
  </si>
  <si>
    <t>T3</t>
  </si>
  <si>
    <t>Alejandro Pereira</t>
  </si>
  <si>
    <t>Samantha Donnelly</t>
  </si>
  <si>
    <t>Reed Schymanski</t>
  </si>
  <si>
    <t>Lilia Buonforte</t>
  </si>
  <si>
    <t>CJ Swemba</t>
  </si>
  <si>
    <t>Evie Jeschke</t>
  </si>
  <si>
    <t>Santiago Fredes</t>
  </si>
  <si>
    <t>Emalyn Gharakhanian</t>
  </si>
  <si>
    <t>Kasra Gongola</t>
  </si>
  <si>
    <t>Lina Kamenov</t>
  </si>
  <si>
    <t>James Wittman</t>
  </si>
  <si>
    <t>Abby Donnelly</t>
  </si>
  <si>
    <t>Kilan Gongola</t>
  </si>
  <si>
    <t>Josephine Daher</t>
  </si>
  <si>
    <t>Julia Denniston</t>
  </si>
  <si>
    <t>Faustino Fredes</t>
  </si>
  <si>
    <t>Emilia Vayra</t>
  </si>
  <si>
    <t>Lucas Moreno</t>
  </si>
  <si>
    <t>Nora Maxey</t>
  </si>
  <si>
    <t>Connor Stith</t>
  </si>
  <si>
    <t>Milla Schymanski</t>
  </si>
  <si>
    <t>Dylan Baldrate</t>
  </si>
  <si>
    <t>Emme Bryce</t>
  </si>
  <si>
    <t>Kira Bhasin</t>
  </si>
  <si>
    <t>Esther Dewhirst</t>
  </si>
  <si>
    <t>Jackie Shaw</t>
  </si>
  <si>
    <t>Maddie Kelly</t>
  </si>
  <si>
    <t>Olivia Berik</t>
  </si>
  <si>
    <t>Trent Hooton</t>
  </si>
  <si>
    <t>Emma Stadelmann</t>
  </si>
  <si>
    <t>James Chen</t>
  </si>
  <si>
    <t>Isabel Pereira</t>
  </si>
  <si>
    <t>Nathan Lucas</t>
  </si>
  <si>
    <t>Emma Dewhirst</t>
  </si>
  <si>
    <t>Beau Lochmann</t>
  </si>
  <si>
    <t>Caroline Van Order</t>
  </si>
  <si>
    <t>Nora Bogacki</t>
  </si>
  <si>
    <t>Cate Lawler</t>
  </si>
  <si>
    <t>Sean Memon</t>
  </si>
  <si>
    <t>Jocelyn Brooks</t>
  </si>
  <si>
    <t>Lucas Stadelmann</t>
  </si>
  <si>
    <t>Francesca Pereira</t>
  </si>
  <si>
    <t>Brennan Wilson</t>
  </si>
  <si>
    <t>Ziya Bhasin</t>
  </si>
  <si>
    <t>Meredith Lawler</t>
  </si>
  <si>
    <t>Grace Berik</t>
  </si>
  <si>
    <t>Jasmine Lassman</t>
  </si>
  <si>
    <t>Stacey Brooks</t>
  </si>
  <si>
    <t>Jeff Denniston, Larry Brooks, John Berik, Neil Wills, John Cherry</t>
  </si>
  <si>
    <t>Maija Lawler</t>
  </si>
  <si>
    <t>Mariano Fredes</t>
  </si>
  <si>
    <t>RH</t>
  </si>
  <si>
    <t>HV</t>
  </si>
  <si>
    <t>Lily Boger</t>
  </si>
  <si>
    <t>Keegan Donnelly</t>
  </si>
  <si>
    <t>Scout Freeman</t>
  </si>
  <si>
    <t>Lincoln Kemp</t>
  </si>
  <si>
    <t>Sienna Nelson</t>
  </si>
  <si>
    <t>Alexander Ogrodny</t>
  </si>
  <si>
    <t>Hannah Carr</t>
  </si>
  <si>
    <t>Andrew Haldeman</t>
  </si>
  <si>
    <t>Megan Hurt</t>
  </si>
  <si>
    <t>Connor Martinez</t>
  </si>
  <si>
    <t>Gabrielle Oporto</t>
  </si>
  <si>
    <t>Eli DeLong</t>
  </si>
  <si>
    <t>Arlee Miller</t>
  </si>
  <si>
    <t>T7</t>
  </si>
  <si>
    <t>Jack Murphy</t>
  </si>
  <si>
    <t>Natalie Esquivel</t>
  </si>
  <si>
    <t>Devin Davenport</t>
  </si>
  <si>
    <t>Audrey Fleming</t>
  </si>
  <si>
    <t>Arlo Creen</t>
  </si>
  <si>
    <t>Bella Fleming</t>
  </si>
  <si>
    <t>T11</t>
  </si>
  <si>
    <t>Stella Boger</t>
  </si>
  <si>
    <t>Lillian Miller</t>
  </si>
  <si>
    <t>Katelyn Thackaberry</t>
  </si>
  <si>
    <t>Amir Owens</t>
  </si>
  <si>
    <t>Quinn Zahler</t>
  </si>
  <si>
    <t>Jack Flanagan</t>
  </si>
  <si>
    <t>Jada Jones</t>
  </si>
  <si>
    <t>Ian Thackaberry</t>
  </si>
  <si>
    <t>Payton Bennett</t>
  </si>
  <si>
    <t>Curt Berry</t>
  </si>
  <si>
    <t>Aliyah Pleisch</t>
  </si>
  <si>
    <t>Zaid Raheem</t>
  </si>
  <si>
    <t>Adam Ogrodny</t>
  </si>
  <si>
    <t>Finn Rogers</t>
  </si>
  <si>
    <t>Chloe Niphadkabin</t>
  </si>
  <si>
    <t>Gabe Newtson</t>
  </si>
  <si>
    <t>Lilly Jessup</t>
  </si>
  <si>
    <t>Kaleb Wisner</t>
  </si>
  <si>
    <t>Caroline Berry</t>
  </si>
  <si>
    <t>Joey Ogrodny</t>
  </si>
  <si>
    <t>Hannah Shriber</t>
  </si>
  <si>
    <t>Hudson Lynch</t>
  </si>
  <si>
    <t>Colson Gardiner</t>
  </si>
  <si>
    <t>Jacob Hurt</t>
  </si>
  <si>
    <t>Cade Nelson</t>
  </si>
  <si>
    <t>Derek Baltas</t>
  </si>
  <si>
    <t>Sophia Newtson</t>
  </si>
  <si>
    <t>Ward Gardiner</t>
  </si>
  <si>
    <t>Natalia Sayasithsena</t>
  </si>
  <si>
    <t>TJ Zahler</t>
  </si>
  <si>
    <t>Caitlyn Delaney</t>
  </si>
  <si>
    <t>Sheen Lee</t>
  </si>
  <si>
    <t>Rob Freeman</t>
  </si>
  <si>
    <t>Griffin Wagner</t>
  </si>
  <si>
    <t>Chris Thackaberry</t>
  </si>
  <si>
    <t>Ed Gardiner , Linara Oporto, Tracey Gardiner, Robert Freeman, Jess Boger</t>
  </si>
  <si>
    <t>Julie Wagner</t>
  </si>
  <si>
    <t>Judy Baltas</t>
  </si>
  <si>
    <t>SHR</t>
  </si>
  <si>
    <t>DH</t>
  </si>
  <si>
    <t>Harper Vida</t>
  </si>
  <si>
    <t>Liam Ross</t>
  </si>
  <si>
    <t>Aemilia Connolly</t>
  </si>
  <si>
    <t>Zach Mathieson</t>
  </si>
  <si>
    <t>Emma Perkins</t>
  </si>
  <si>
    <t>Wade Squire</t>
  </si>
  <si>
    <t>Evangeline Thome</t>
  </si>
  <si>
    <t>Zach Scherer</t>
  </si>
  <si>
    <t>Emma Richard</t>
  </si>
  <si>
    <t>Louie Marra</t>
  </si>
  <si>
    <t>Caroline Reilly</t>
  </si>
  <si>
    <t>Ethan Perkins</t>
  </si>
  <si>
    <t>Callie Swanson</t>
  </si>
  <si>
    <t>Babi Aldonas</t>
  </si>
  <si>
    <t>Eleanor Connolly</t>
  </si>
  <si>
    <t>Stanley Hopwood</t>
  </si>
  <si>
    <t>Amelia Wisniewski</t>
  </si>
  <si>
    <t>Sawyer Wichert</t>
  </si>
  <si>
    <t>Michael Bui</t>
  </si>
  <si>
    <t>Helen Butler</t>
  </si>
  <si>
    <t>Toby Chen</t>
  </si>
  <si>
    <t>Elle Feeley</t>
  </si>
  <si>
    <t>Lucas Vida</t>
  </si>
  <si>
    <t>Eleanor Goehring</t>
  </si>
  <si>
    <t>Ben Panko</t>
  </si>
  <si>
    <t>Coco Marra</t>
  </si>
  <si>
    <t>Eammon Bownas</t>
  </si>
  <si>
    <t>Avery Jackson</t>
  </si>
  <si>
    <t>Walter Hopwood</t>
  </si>
  <si>
    <t>Avery Swanson</t>
  </si>
  <si>
    <t>Ian Bradley</t>
  </si>
  <si>
    <t>Ryann Rautenbach</t>
  </si>
  <si>
    <t>Hannah Brubeck</t>
  </si>
  <si>
    <t>Charlie Morrison</t>
  </si>
  <si>
    <t>Hannah Ax</t>
  </si>
  <si>
    <t>Preston Wichert</t>
  </si>
  <si>
    <t>Matheo Korin</t>
  </si>
  <si>
    <t>Nathan Connelly</t>
  </si>
  <si>
    <t>Chloe Richards</t>
  </si>
  <si>
    <t>Matthew Heim</t>
  </si>
  <si>
    <t>Ocean Archambault</t>
  </si>
  <si>
    <t>Charlie Gent</t>
  </si>
  <si>
    <t>Anna Fitzgerald</t>
  </si>
  <si>
    <t>Joseph Nixon</t>
  </si>
  <si>
    <t>Emma Redman</t>
  </si>
  <si>
    <t>Paige Shelton</t>
  </si>
  <si>
    <t>Morgan Shelton</t>
  </si>
  <si>
    <t>Laurie Blakeman</t>
  </si>
  <si>
    <t>Laurie Blakeman, Carolyn Abbate, Thomas Joyce, Jim Nixon, Rachel Shelton</t>
  </si>
  <si>
    <t>William Heim</t>
  </si>
  <si>
    <t>June Seymour</t>
  </si>
  <si>
    <t>LG</t>
  </si>
  <si>
    <t>Ingrid Lander</t>
  </si>
  <si>
    <t>Remy Nicholson</t>
  </si>
  <si>
    <t>Misha Mullen</t>
  </si>
  <si>
    <t>Ronan Gallagher</t>
  </si>
  <si>
    <t>McKinley Cervenak</t>
  </si>
  <si>
    <t>Jack Casterline</t>
  </si>
  <si>
    <t>Tasanee Verasin</t>
  </si>
  <si>
    <t>Luka Dodd</t>
  </si>
  <si>
    <t>Mary Brooks Simoneaux</t>
  </si>
  <si>
    <t>Margaret Grogan</t>
  </si>
  <si>
    <t>Hazel Lauver</t>
  </si>
  <si>
    <t>Mari Tovar</t>
  </si>
  <si>
    <t>Emma Fricke</t>
  </si>
  <si>
    <t>Wesley Grogan</t>
  </si>
  <si>
    <t>Leighton Raich</t>
  </si>
  <si>
    <t>Ben Blaeuer</t>
  </si>
  <si>
    <t>Lelia Dodd</t>
  </si>
  <si>
    <t>Keaton Allard</t>
  </si>
  <si>
    <t>Thea Conole</t>
  </si>
  <si>
    <t>Park Hoffmann</t>
  </si>
  <si>
    <t>Casimira Betz</t>
  </si>
  <si>
    <t>Reid Yeh</t>
  </si>
  <si>
    <t>Victoria Hill</t>
  </si>
  <si>
    <t>Anna Goodell</t>
  </si>
  <si>
    <t>Graham Nicholson</t>
  </si>
  <si>
    <t>Will Davis</t>
  </si>
  <si>
    <t>Sloane Wayment</t>
  </si>
  <si>
    <t>Teddy Klousia</t>
  </si>
  <si>
    <t>Simone Feil</t>
  </si>
  <si>
    <t>Patrick Verasin</t>
  </si>
  <si>
    <t>Maddie Allard</t>
  </si>
  <si>
    <t>Rowan Threadgill</t>
  </si>
  <si>
    <t>Paxton Martinez</t>
  </si>
  <si>
    <t>Madison Cervenak</t>
  </si>
  <si>
    <t>Alex Way</t>
  </si>
  <si>
    <t>Allie Farello</t>
  </si>
  <si>
    <t>Kellen Colevas</t>
  </si>
  <si>
    <t>Reagan Cervenak</t>
  </si>
  <si>
    <t>Edan Thornton</t>
  </si>
  <si>
    <t>Eliza Miller</t>
  </si>
  <si>
    <t>Maria Miller</t>
  </si>
  <si>
    <t>Hazel Flynn</t>
  </si>
  <si>
    <t>Tim Davis</t>
  </si>
  <si>
    <t>Kara Klousia, Tim Davis, David Raich, Steve Lander, Bob Miller</t>
  </si>
  <si>
    <t>Camille McCarthy</t>
  </si>
  <si>
    <t>Julena Goodell</t>
  </si>
  <si>
    <t>FS</t>
  </si>
  <si>
    <t>WG</t>
  </si>
  <si>
    <t>Victoria Williams</t>
  </si>
  <si>
    <t>Chanler Majiros</t>
  </si>
  <si>
    <t>Olivia Anderson</t>
  </si>
  <si>
    <t>Cavan Telleen</t>
  </si>
  <si>
    <t>Emma Phillips</t>
  </si>
  <si>
    <t>Fletcher Telleen</t>
  </si>
  <si>
    <t>Eliska Brown</t>
  </si>
  <si>
    <t>Maty Brown</t>
  </si>
  <si>
    <t>Samantha Lanthier</t>
  </si>
  <si>
    <t>Ebenezer Louie</t>
  </si>
  <si>
    <t>Evie Reilly</t>
  </si>
  <si>
    <t>Hudson Lybarger</t>
  </si>
  <si>
    <t>Charlotte Rusnak</t>
  </si>
  <si>
    <t>Avery Hilliard</t>
  </si>
  <si>
    <t>Zahra Benmbarek</t>
  </si>
  <si>
    <t>Gaia Salcedo</t>
  </si>
  <si>
    <t>Bridget O'Leary</t>
  </si>
  <si>
    <t>Elizabeth Pidgeon</t>
  </si>
  <si>
    <t>Teddy Anderson</t>
  </si>
  <si>
    <t>Ramona Greeney</t>
  </si>
  <si>
    <t>Renner Davis</t>
  </si>
  <si>
    <t>Noelle Telleen</t>
  </si>
  <si>
    <t>Linus Raring</t>
  </si>
  <si>
    <t>Aria Giarraputo</t>
  </si>
  <si>
    <t>Abby Reilly</t>
  </si>
  <si>
    <t>Elin Geraghty</t>
  </si>
  <si>
    <t>Jonah Lanthier</t>
  </si>
  <si>
    <t>Adriana McCormick</t>
  </si>
  <si>
    <t>Asher Lanthier</t>
  </si>
  <si>
    <t>Elza Jones</t>
  </si>
  <si>
    <t>Alden Meholic</t>
  </si>
  <si>
    <t>Andrew Parente</t>
  </si>
  <si>
    <t>Jessica Buechler</t>
  </si>
  <si>
    <t>Trey Telleen</t>
  </si>
  <si>
    <t>Charlotte Petrick</t>
  </si>
  <si>
    <t>Jaden Buecher</t>
  </si>
  <si>
    <t>Darcy Telleen</t>
  </si>
  <si>
    <t>Aidan Smith</t>
  </si>
  <si>
    <t>Anamarie Harrison</t>
  </si>
  <si>
    <t>Noah Pera</t>
  </si>
  <si>
    <t>Mirabella Lanthier</t>
  </si>
  <si>
    <t>Ramsay Latham</t>
  </si>
  <si>
    <t>Sophia Gettty</t>
  </si>
  <si>
    <t>Joe Clardy</t>
  </si>
  <si>
    <t>Tavi Mohammed</t>
  </si>
  <si>
    <t>Milo Feller</t>
  </si>
  <si>
    <t>Donny Anderson</t>
  </si>
  <si>
    <t>Steve Petrick, Paul Rabe/Chris Lanthier, Mark Moyer, Lucy Parente, Stefanie Pidgeon</t>
  </si>
  <si>
    <t>Angela Harrison</t>
  </si>
  <si>
    <t>Damask Petrick</t>
  </si>
  <si>
    <t xml:space="preserve"> </t>
  </si>
  <si>
    <t>DL</t>
  </si>
  <si>
    <t>PAR</t>
  </si>
  <si>
    <t>Stella Baldeon Masturzo</t>
  </si>
  <si>
    <t>Flynn Miller</t>
  </si>
  <si>
    <t>Brielle Burnside</t>
  </si>
  <si>
    <t>Jacob Stanley</t>
  </si>
  <si>
    <t>Bella DeSando</t>
  </si>
  <si>
    <t>Mack Klink</t>
  </si>
  <si>
    <t>Josephine Wills</t>
  </si>
  <si>
    <t>Ryan Linegang</t>
  </si>
  <si>
    <t>Elise Esquivel</t>
  </si>
  <si>
    <t>Finn Klink</t>
  </si>
  <si>
    <t>Hadley Miller</t>
  </si>
  <si>
    <t>Theodore Brewer</t>
  </si>
  <si>
    <t>Hannah Waters</t>
  </si>
  <si>
    <t>Carina Bosco</t>
  </si>
  <si>
    <t>Elena Scott</t>
  </si>
  <si>
    <t>Sofia Stanley</t>
  </si>
  <si>
    <t>Charlotte Kluttz</t>
  </si>
  <si>
    <t>Charlotte Rotteveel</t>
  </si>
  <si>
    <t>TJ DeSando</t>
  </si>
  <si>
    <t>Erin Martonik</t>
  </si>
  <si>
    <t>Elliot Brooks</t>
  </si>
  <si>
    <t>Clara Beatty</t>
  </si>
  <si>
    <t>Laszlo Matias</t>
  </si>
  <si>
    <t>Gabrielle Subasavage</t>
  </si>
  <si>
    <t>Marisa Torregroza</t>
  </si>
  <si>
    <t>Tanisa Kanchanawanchai</t>
  </si>
  <si>
    <t>Madyson Chambley</t>
  </si>
  <si>
    <t>Nolan Scott</t>
  </si>
  <si>
    <t>Lex Brucker</t>
  </si>
  <si>
    <t>Niall McCarthy</t>
  </si>
  <si>
    <t>George Miller</t>
  </si>
  <si>
    <t>Drew Avila</t>
  </si>
  <si>
    <t>Kiran Vasudevan</t>
  </si>
  <si>
    <t>Mike DeSando</t>
  </si>
  <si>
    <t>Evan Vink</t>
  </si>
  <si>
    <t>Jacob Couchman</t>
  </si>
  <si>
    <t>Joshua Taliaferro</t>
  </si>
  <si>
    <t>Daniel Cate</t>
  </si>
  <si>
    <t>Jay Vasudevan</t>
  </si>
  <si>
    <t>Cris DeSando, Quian Sheng/Sonya Marsden, Tracy Harley, David Avila, Allison Klink</t>
  </si>
  <si>
    <t>Theresa Beatty</t>
  </si>
  <si>
    <t>Theresa Wills</t>
  </si>
  <si>
    <t>HP</t>
  </si>
  <si>
    <t>THA</t>
  </si>
  <si>
    <t>Emme Guy</t>
  </si>
  <si>
    <t>Callum Pitera</t>
  </si>
  <si>
    <t>Eleanor Dannen</t>
  </si>
  <si>
    <t>Sean Tighe</t>
  </si>
  <si>
    <t>Bridget Snyder</t>
  </si>
  <si>
    <t>Nolan Walsh</t>
  </si>
  <si>
    <t>Nora Jandrain</t>
  </si>
  <si>
    <t>Arthur Jozefczyk</t>
  </si>
  <si>
    <t>Sofia Dalilaltojari</t>
  </si>
  <si>
    <t>Gloria Johnson</t>
  </si>
  <si>
    <t>Olivia Jozefczyk</t>
  </si>
  <si>
    <t>Harleigh Spencer</t>
  </si>
  <si>
    <t>Emilie Glass</t>
  </si>
  <si>
    <t>Sasha Wimpey</t>
  </si>
  <si>
    <t>Kisma Sarsour</t>
  </si>
  <si>
    <t>Payton McCarrison</t>
  </si>
  <si>
    <t>Grace Hawk</t>
  </si>
  <si>
    <t>Scarlet Johnson</t>
  </si>
  <si>
    <t>Leah Jandrain</t>
  </si>
  <si>
    <t>Luke Kieffer</t>
  </si>
  <si>
    <t>Mouse Guy</t>
  </si>
  <si>
    <t>PJ Stigliano</t>
  </si>
  <si>
    <t>Phoebe Guy</t>
  </si>
  <si>
    <t>Ewan Girard</t>
  </si>
  <si>
    <t>Ben Margolis</t>
  </si>
  <si>
    <t>Cameron Cohen</t>
  </si>
  <si>
    <t>Joseph Mosinski</t>
  </si>
  <si>
    <t>Ainslee Girard</t>
  </si>
  <si>
    <t>Jasper Eng</t>
  </si>
  <si>
    <t>Piper Guy</t>
  </si>
  <si>
    <t>Peter Lucado</t>
  </si>
  <si>
    <t>Lucinda Ross</t>
  </si>
  <si>
    <t>Julian Castro</t>
  </si>
  <si>
    <t>Christine Hackl</t>
  </si>
  <si>
    <t>Celeste Lucado</t>
  </si>
  <si>
    <t>Caden Guy</t>
  </si>
  <si>
    <t>Lilly Coulby</t>
  </si>
  <si>
    <t>Batyr Turatbekov</t>
  </si>
  <si>
    <t>Nithy Pelekasis</t>
  </si>
  <si>
    <t>Desmond Damico-Lassman</t>
  </si>
  <si>
    <t>Mac Coulby</t>
  </si>
  <si>
    <t>Brett Townsend</t>
  </si>
  <si>
    <t>Michael Margolis</t>
  </si>
  <si>
    <t>Brandon Lucado, Mel Worthington, Jenny Eng, Mike Stigliano, Will Painter</t>
  </si>
  <si>
    <t>Jenn Johnson</t>
  </si>
  <si>
    <t>Julie Margolis</t>
  </si>
  <si>
    <t>Theresa Lucado</t>
  </si>
  <si>
    <t>CB</t>
  </si>
  <si>
    <t>HF</t>
  </si>
  <si>
    <t>Ava Kowalchick</t>
  </si>
  <si>
    <t>Espen Bassett</t>
  </si>
  <si>
    <t>Katherine Lazarus</t>
  </si>
  <si>
    <t>Ezra Landman</t>
  </si>
  <si>
    <t>Harper Easley</t>
  </si>
  <si>
    <t>Evan Tan</t>
  </si>
  <si>
    <t>Makenzie Case</t>
  </si>
  <si>
    <t>Ben Lyon</t>
  </si>
  <si>
    <t>Adelyn Wilder</t>
  </si>
  <si>
    <t>Luke Payne</t>
  </si>
  <si>
    <t>Abby Lee</t>
  </si>
  <si>
    <t>West Carter</t>
  </si>
  <si>
    <t>Ellie Lee</t>
  </si>
  <si>
    <t>Oliver Roques</t>
  </si>
  <si>
    <t>Edi Charboneau</t>
  </si>
  <si>
    <t>Owen Bassett</t>
  </si>
  <si>
    <t>Sofia Grantz</t>
  </si>
  <si>
    <t>Whitney Grantz</t>
  </si>
  <si>
    <t>Claire Scarlett</t>
  </si>
  <si>
    <t>Julianna Butler</t>
  </si>
  <si>
    <t>Will Copes</t>
  </si>
  <si>
    <t>Madeleine Philbin</t>
  </si>
  <si>
    <t>Christopher Neumann</t>
  </si>
  <si>
    <t>Nora Hall</t>
  </si>
  <si>
    <t>Edison Tan</t>
  </si>
  <si>
    <t>Luke Peters</t>
  </si>
  <si>
    <t>Joseph Neumann</t>
  </si>
  <si>
    <t>Charlie Rogers</t>
  </si>
  <si>
    <t>Emma Kowalchick</t>
  </si>
  <si>
    <t>Nate Johnson</t>
  </si>
  <si>
    <t>Erika Noreika</t>
  </si>
  <si>
    <t>Michael Davis</t>
  </si>
  <si>
    <t>Gordon Anderson</t>
  </si>
  <si>
    <t>Clayre Payne</t>
  </si>
  <si>
    <t>Will Townes</t>
  </si>
  <si>
    <t>Clover Kennelly</t>
  </si>
  <si>
    <t>Alex Valencic</t>
  </si>
  <si>
    <t>Ellie Mallard</t>
  </si>
  <si>
    <t>Cooper Belt</t>
  </si>
  <si>
    <t>Sam Johnson</t>
  </si>
  <si>
    <t>Mike Schaeffer</t>
  </si>
  <si>
    <t>Christie Hall, Sherri Poters, Sara Kowchik, Carmen Taveras, Mike Schaeffer</t>
  </si>
  <si>
    <t>Theresa Valencic</t>
  </si>
  <si>
    <t>Susanna butler</t>
  </si>
  <si>
    <t>GF</t>
  </si>
  <si>
    <t>W</t>
  </si>
  <si>
    <t>Emerie Woods</t>
  </si>
  <si>
    <t>Kai Boulter</t>
  </si>
  <si>
    <t>Aurora Davison</t>
  </si>
  <si>
    <t>Tobin Boulter</t>
  </si>
  <si>
    <t>Hailey Walkenhorst</t>
  </si>
  <si>
    <t>Deven Todman</t>
  </si>
  <si>
    <t>Effie Erwin</t>
  </si>
  <si>
    <t>James Lake</t>
  </si>
  <si>
    <t>Sarah Avery</t>
  </si>
  <si>
    <t>Max Damjan</t>
  </si>
  <si>
    <t>Meghan Hetmanski</t>
  </si>
  <si>
    <t>Charlie Lake</t>
  </si>
  <si>
    <t>Lexi Fowler</t>
  </si>
  <si>
    <t>Hugo Kroely</t>
  </si>
  <si>
    <t>Annie Baker</t>
  </si>
  <si>
    <t>LaMonica Theo</t>
  </si>
  <si>
    <t>Cecilia Sanders</t>
  </si>
  <si>
    <t>Max McKnight</t>
  </si>
  <si>
    <t>Tara Farid</t>
  </si>
  <si>
    <t>Charlie Bennett</t>
  </si>
  <si>
    <t>Julianne Sanders</t>
  </si>
  <si>
    <t>Ben Baker</t>
  </si>
  <si>
    <t>Ari Wiley-Jimenez</t>
  </si>
  <si>
    <t>Zach Lum</t>
  </si>
  <si>
    <t>Aletheia Wiley-Jimenez</t>
  </si>
  <si>
    <t>JP Kissinger</t>
  </si>
  <si>
    <t>Olivia Ahern</t>
  </si>
  <si>
    <t>Alex Kroely</t>
  </si>
  <si>
    <t>Evelyn Sanders</t>
  </si>
  <si>
    <t>Pierre Kroely</t>
  </si>
  <si>
    <t>Sophia Niday</t>
  </si>
  <si>
    <t>Bennett Barletta</t>
  </si>
  <si>
    <t>Lydia Johnson</t>
  </si>
  <si>
    <t>Eliza Pollack</t>
  </si>
  <si>
    <t>Alex Lum</t>
  </si>
  <si>
    <t>Meri Fowler</t>
  </si>
  <si>
    <t>Vin Landi</t>
  </si>
  <si>
    <t>Emily Ahern</t>
  </si>
  <si>
    <t>Ben Pollack</t>
  </si>
  <si>
    <t>Lexa Landi</t>
  </si>
  <si>
    <t>Optimus Bigby</t>
  </si>
  <si>
    <t>Asa Keller</t>
  </si>
  <si>
    <t>Elizabeth Bell</t>
  </si>
  <si>
    <t>Caleb Hoover</t>
  </si>
  <si>
    <t>Norah Kissinger</t>
  </si>
  <si>
    <t>Peter Baird</t>
  </si>
  <si>
    <t>Mary Abela</t>
  </si>
  <si>
    <t>Zach Napoli</t>
  </si>
  <si>
    <t>Currin Wilson</t>
  </si>
  <si>
    <t>Elizabeth Wiley</t>
  </si>
  <si>
    <t>Elizabeth Wiley, Robert Vroom, Albert Lum, Michael Woods, Kyle Hoover</t>
  </si>
  <si>
    <t>Amy Vroom</t>
  </si>
  <si>
    <t>Emily Hoover</t>
  </si>
  <si>
    <t>CP</t>
  </si>
  <si>
    <t>CCC</t>
  </si>
  <si>
    <t>Maya Truitt</t>
  </si>
  <si>
    <t>Ray Roswell</t>
  </si>
  <si>
    <t>Sara Curry-Briggs</t>
  </si>
  <si>
    <t>Nolan Cherryholmes-Wesley</t>
  </si>
  <si>
    <t>Adelyn Whaley</t>
  </si>
  <si>
    <t>Vidya Bharathan</t>
  </si>
  <si>
    <t>Nhi Nguyen</t>
  </si>
  <si>
    <t>Graciela Padilla</t>
  </si>
  <si>
    <t>Olivia Risley</t>
  </si>
  <si>
    <t>Christina Hopke</t>
  </si>
  <si>
    <t>Aubrey Chaleunrath</t>
  </si>
  <si>
    <t>Lillian Wade</t>
  </si>
  <si>
    <t>Cora Dugan</t>
  </si>
  <si>
    <t>Teagan Williams</t>
  </si>
  <si>
    <t>Emma Whaley</t>
  </si>
  <si>
    <t>Caleb Cherryholmes-Wesley</t>
  </si>
  <si>
    <t>Sophie Ryan</t>
  </si>
  <si>
    <t>Colin Wilson</t>
  </si>
  <si>
    <t>Josh Themely</t>
  </si>
  <si>
    <t>Drew Southworth</t>
  </si>
  <si>
    <t>Liam Johns</t>
  </si>
  <si>
    <t>Sloan Tann</t>
  </si>
  <si>
    <t>Nate Southworth</t>
  </si>
  <si>
    <t>CC Wilson</t>
  </si>
  <si>
    <t>Graysen Loftis</t>
  </si>
  <si>
    <t>Maia McAllister</t>
  </si>
  <si>
    <t>Jake Themely</t>
  </si>
  <si>
    <t>Quinn Harris</t>
  </si>
  <si>
    <t>Finn Johns</t>
  </si>
  <si>
    <t>Trey Gagermeier</t>
  </si>
  <si>
    <t>Megan Burski Wells</t>
  </si>
  <si>
    <t>Megan Burski Wells, Andrea Themely, Abraham McAllister, Bryan Birchfield, Kristi Lehmann</t>
  </si>
  <si>
    <t>Mona Birchfield</t>
  </si>
  <si>
    <t>Laura Wilson</t>
  </si>
  <si>
    <t>R</t>
  </si>
  <si>
    <t>CH</t>
  </si>
  <si>
    <t>Adelaide Bergmans</t>
  </si>
  <si>
    <t>Andrew Beck</t>
  </si>
  <si>
    <t>Sammy Jarvis</t>
  </si>
  <si>
    <t>Will Feeney</t>
  </si>
  <si>
    <t>Claire Yurgil</t>
  </si>
  <si>
    <t>Declan Prunty</t>
  </si>
  <si>
    <t>Addison Prunty</t>
  </si>
  <si>
    <t>Ryan Phung</t>
  </si>
  <si>
    <t>Emily McKinnon</t>
  </si>
  <si>
    <t>Yusef Suqi</t>
  </si>
  <si>
    <t>Olivia Wisecarver</t>
  </si>
  <si>
    <t>Aaron Scruby</t>
  </si>
  <si>
    <t>Emma Wiedemann</t>
  </si>
  <si>
    <t>Ellie Gilman</t>
  </si>
  <si>
    <t>Jasper Figley</t>
  </si>
  <si>
    <t>Marianna McKinnon</t>
  </si>
  <si>
    <t>Calvin Butler</t>
  </si>
  <si>
    <t>Lucy Bennett</t>
  </si>
  <si>
    <t>Jackson Phung</t>
  </si>
  <si>
    <t>Brooklyn Brabender</t>
  </si>
  <si>
    <t>Alexander Halphen</t>
  </si>
  <si>
    <t>Sophia McConnell</t>
  </si>
  <si>
    <t>Zavier Roberts</t>
  </si>
  <si>
    <t>Leila Suqi</t>
  </si>
  <si>
    <t>Paul DiCola</t>
  </si>
  <si>
    <t>Jayan Penn</t>
  </si>
  <si>
    <t>Sofia DiCola</t>
  </si>
  <si>
    <t>Luke Lauretti</t>
  </si>
  <si>
    <t>Katie Clague</t>
  </si>
  <si>
    <t>Jackson Brabender</t>
  </si>
  <si>
    <t>Nate Butler</t>
  </si>
  <si>
    <t>Caleb Orban</t>
  </si>
  <si>
    <t>Connor Prunty</t>
  </si>
  <si>
    <t>Miah Henderson</t>
  </si>
  <si>
    <t>Leo McFadden</t>
  </si>
  <si>
    <t>Allie Reback</t>
  </si>
  <si>
    <t>Cash Riedel</t>
  </si>
  <si>
    <t>Sarah Manson</t>
  </si>
  <si>
    <t>Luke Houghton</t>
  </si>
  <si>
    <t>Caitlin Holtaway</t>
  </si>
  <si>
    <t>Reed Clifton</t>
  </si>
  <si>
    <t>Mo Murphy</t>
  </si>
  <si>
    <t>Cathy Riedel</t>
  </si>
  <si>
    <t>Andrew Prunty, Michelle Butler, Karl Rothman, Allen Brabender, Cathy Riedel</t>
  </si>
  <si>
    <t>Erin Henderson</t>
  </si>
  <si>
    <t>Kate Beck</t>
  </si>
  <si>
    <t>SR</t>
  </si>
  <si>
    <t>LV</t>
  </si>
  <si>
    <t>Isla Newsad</t>
  </si>
  <si>
    <t>John Tarr</t>
  </si>
  <si>
    <t>Beatrice Simonsen</t>
  </si>
  <si>
    <t>Cormac Moore</t>
  </si>
  <si>
    <t>Clara Cummings</t>
  </si>
  <si>
    <t>Sullivan Moore</t>
  </si>
  <si>
    <t>Caroline Markey</t>
  </si>
  <si>
    <t>Jackson Markey</t>
  </si>
  <si>
    <t>Penelope Cummings</t>
  </si>
  <si>
    <t>Lillian Engle</t>
  </si>
  <si>
    <t>Addy Andresen</t>
  </si>
  <si>
    <t>Anne Marie Cummings</t>
  </si>
  <si>
    <t>Josie Newsad</t>
  </si>
  <si>
    <t>Lacey Slone</t>
  </si>
  <si>
    <t>Aniket Agarwal</t>
  </si>
  <si>
    <t>Sarah Fickling</t>
  </si>
  <si>
    <t>Kendall Wilson</t>
  </si>
  <si>
    <t>Cora Bellomo</t>
  </si>
  <si>
    <t>Mimei Minato</t>
  </si>
  <si>
    <t>Reese Andresen</t>
  </si>
  <si>
    <t>Deena Epstein</t>
  </si>
  <si>
    <t>Isabelle Koenig</t>
  </si>
  <si>
    <t>Adam Lash</t>
  </si>
  <si>
    <t>Ethan Hubbard</t>
  </si>
  <si>
    <t>Gunner Larson</t>
  </si>
  <si>
    <t>Bryan Markey</t>
  </si>
  <si>
    <t>Walter Simonsen</t>
  </si>
  <si>
    <t>Beatrice Sultanaeva</t>
  </si>
  <si>
    <t>Ryan Mitchell</t>
  </si>
  <si>
    <t>Shawn Hubbard</t>
  </si>
  <si>
    <t>Garrett Simonsen</t>
  </si>
  <si>
    <t>Susan Mitchell</t>
  </si>
  <si>
    <t>Erin Wilson, Natalie Markey, Steven Hubbard, Sara Agarwal, Susan Mitchell</t>
  </si>
  <si>
    <t>Kim Proulx</t>
  </si>
  <si>
    <t>Kastell Larson</t>
  </si>
  <si>
    <t>MHC</t>
  </si>
  <si>
    <t>SHB</t>
  </si>
  <si>
    <t>Alexandra Grant</t>
  </si>
  <si>
    <t>Felix Harte</t>
  </si>
  <si>
    <t>Quinn Brown</t>
  </si>
  <si>
    <t>P.D. Lips</t>
  </si>
  <si>
    <t>Florence Lodico</t>
  </si>
  <si>
    <t>Will Fletcher</t>
  </si>
  <si>
    <t>Navya Williams</t>
  </si>
  <si>
    <t>Thor Downie</t>
  </si>
  <si>
    <t>Allie Benone</t>
  </si>
  <si>
    <t>Asher Arnic</t>
  </si>
  <si>
    <t>Adella Bryant</t>
  </si>
  <si>
    <t>Jacob Chodos</t>
  </si>
  <si>
    <t>Ellie Collins</t>
  </si>
  <si>
    <t>Clara Bryant</t>
  </si>
  <si>
    <t>Maya Orlova</t>
  </si>
  <si>
    <t>Austin Moss</t>
  </si>
  <si>
    <t>Catheryn Good</t>
  </si>
  <si>
    <t>Patrick Donovan</t>
  </si>
  <si>
    <t>Grace Rose</t>
  </si>
  <si>
    <t>Kalyan Williams</t>
  </si>
  <si>
    <t>Brynn White</t>
  </si>
  <si>
    <t>ZZ Arnic</t>
  </si>
  <si>
    <t>Sam Carrado</t>
  </si>
  <si>
    <t>Kyle Schutt</t>
  </si>
  <si>
    <t>Zoe Askin</t>
  </si>
  <si>
    <t>Sam Martin</t>
  </si>
  <si>
    <t>Paisley Wilkins</t>
  </si>
  <si>
    <t>Owen Thomas</t>
  </si>
  <si>
    <t>Jordan Sussman</t>
  </si>
  <si>
    <t>Sandra Kay</t>
  </si>
  <si>
    <t>Allie Duffield</t>
  </si>
  <si>
    <t>Petra Oleson</t>
  </si>
  <si>
    <t>Penelope Lawler</t>
  </si>
  <si>
    <t>Tabitha Thomas</t>
  </si>
  <si>
    <t>Sarah Rose</t>
  </si>
  <si>
    <t>Jim Sweeder</t>
  </si>
  <si>
    <t>James Wilkins, Fred Martin, Jen Arnic, Chad Duffield, Jim Sweeder</t>
  </si>
  <si>
    <t>Corey Collins</t>
  </si>
  <si>
    <t>Dana Chodos</t>
  </si>
  <si>
    <t>WC</t>
  </si>
  <si>
    <t>T</t>
  </si>
  <si>
    <t>Annelise Saunders</t>
  </si>
  <si>
    <t>Max Waisberg</t>
  </si>
  <si>
    <t>Julia Zellers</t>
  </si>
  <si>
    <t>Oli Waisberg</t>
  </si>
  <si>
    <t>Sienna Carry</t>
  </si>
  <si>
    <t>Reid Heller</t>
  </si>
  <si>
    <t>Lucy Wolverton</t>
  </si>
  <si>
    <t>Victor Rodriguez</t>
  </si>
  <si>
    <t>Cierra Zimmermann</t>
  </si>
  <si>
    <t>Sawyer Lawrence</t>
  </si>
  <si>
    <t>Lilian Raymond</t>
  </si>
  <si>
    <t>Benjamin Weitz</t>
  </si>
  <si>
    <t>Ana Negrelli</t>
  </si>
  <si>
    <t>Spencer Pocock</t>
  </si>
  <si>
    <t>Lillian Sinclair</t>
  </si>
  <si>
    <t>Bear Jackson</t>
  </si>
  <si>
    <t>Mia Borlinghaus</t>
  </si>
  <si>
    <t>Maria Garcia-McIntire</t>
  </si>
  <si>
    <t>Alexandra Kennedy</t>
  </si>
  <si>
    <t>Ellie Cusner</t>
  </si>
  <si>
    <t>Eva Negrelli</t>
  </si>
  <si>
    <t>Rowen Stenberg</t>
  </si>
  <si>
    <t>Eden Cogert</t>
  </si>
  <si>
    <t>David Garcia-McIntire</t>
  </si>
  <si>
    <t>Emily Fay</t>
  </si>
  <si>
    <t>Matthew Robertson</t>
  </si>
  <si>
    <t>Claire Cannon</t>
  </si>
  <si>
    <t>Elayna Cogert</t>
  </si>
  <si>
    <t>Ally Han</t>
  </si>
  <si>
    <t>Leila Adams</t>
  </si>
  <si>
    <t>Alexa Mansuy</t>
  </si>
  <si>
    <t>Isaac Fonner</t>
  </si>
  <si>
    <t>Charlotte Fay</t>
  </si>
  <si>
    <t>Vicki Waisberg</t>
  </si>
  <si>
    <t>Annabelle Ebaugh</t>
  </si>
  <si>
    <t>Emily Zellers</t>
  </si>
  <si>
    <t>Nikitha Rajesh</t>
  </si>
  <si>
    <t>Luke Goodson</t>
  </si>
  <si>
    <t>Madison Ebaugh</t>
  </si>
  <si>
    <t>Constance Douglas</t>
  </si>
  <si>
    <t>Alexandra Cannon, Constance Douglas, Ryan Stenberg, Michael Fay , Jen Webster</t>
  </si>
  <si>
    <t>Khanh Stenberg</t>
  </si>
  <si>
    <t>Kim Glasse</t>
  </si>
  <si>
    <t>M</t>
  </si>
  <si>
    <t>PL</t>
  </si>
  <si>
    <t>Leila White</t>
  </si>
  <si>
    <t>Archie Wiedemann</t>
  </si>
  <si>
    <t>Addie Celentano</t>
  </si>
  <si>
    <t>Eli White</t>
  </si>
  <si>
    <t>Erin Pinchas</t>
  </si>
  <si>
    <t>Cameron Effgen</t>
  </si>
  <si>
    <t>Danelea Shea</t>
  </si>
  <si>
    <t>Liam Redington</t>
  </si>
  <si>
    <t>Ceclia White</t>
  </si>
  <si>
    <t>Jackson Lopez</t>
  </si>
  <si>
    <t>Annabel Rider</t>
  </si>
  <si>
    <t>David McArdle</t>
  </si>
  <si>
    <t>Savannah Moore</t>
  </si>
  <si>
    <t>Preston Tuttle</t>
  </si>
  <si>
    <t>Miles McWilliams</t>
  </si>
  <si>
    <t>Charlotte Hill</t>
  </si>
  <si>
    <t>Cormac Henderson</t>
  </si>
  <si>
    <t>Kerrington Supple</t>
  </si>
  <si>
    <t>Miller Supple</t>
  </si>
  <si>
    <t>Lucy McArdle</t>
  </si>
  <si>
    <t>Emmett Wiedemann</t>
  </si>
  <si>
    <t>Annabel Manegold</t>
  </si>
  <si>
    <t>Maxton Molina-Weir</t>
  </si>
  <si>
    <t>Alexandra Lee</t>
  </si>
  <si>
    <t>Owen Molina-Weir</t>
  </si>
  <si>
    <t>Maggie Johnston</t>
  </si>
  <si>
    <t>Connor Manegold</t>
  </si>
  <si>
    <t>Maggie Levi</t>
  </si>
  <si>
    <t>Emma Hill</t>
  </si>
  <si>
    <t>Joey Liller</t>
  </si>
  <si>
    <t>Samantha Eldred</t>
  </si>
  <si>
    <t>Owen Henderson</t>
  </si>
  <si>
    <t>John Redington</t>
  </si>
  <si>
    <t>John Redington, Steve Wills, Jeremy Wiedemann, Stephen Liller, Beth Effgen</t>
  </si>
  <si>
    <t>Karen Eldred</t>
  </si>
  <si>
    <t>Jim Supple</t>
  </si>
  <si>
    <t>RFD</t>
  </si>
  <si>
    <t>AF</t>
  </si>
  <si>
    <t>Mia Harbeck</t>
  </si>
  <si>
    <t>Colby Steffen</t>
  </si>
  <si>
    <t>Victoria Beier</t>
  </si>
  <si>
    <t>Austin Brooks</t>
  </si>
  <si>
    <t>Vi Robert</t>
  </si>
  <si>
    <t>R. Emerson Koch</t>
  </si>
  <si>
    <t>Mara Albro</t>
  </si>
  <si>
    <t>Max Robinett</t>
  </si>
  <si>
    <t>Agnes Campbell</t>
  </si>
  <si>
    <t>Maggie Steffen</t>
  </si>
  <si>
    <t>Victoria Gomes</t>
  </si>
  <si>
    <t>Agnes Robert</t>
  </si>
  <si>
    <t>Tamar Davitian</t>
  </si>
  <si>
    <t>Libby Snow</t>
  </si>
  <si>
    <t>Acadia Taylor</t>
  </si>
  <si>
    <t>Tanner Green</t>
  </si>
  <si>
    <t>Ella Turner</t>
  </si>
  <si>
    <t>Nicholas Petruccelli</t>
  </si>
  <si>
    <t>Helen Huggler</t>
  </si>
  <si>
    <t>Nicholas Beier</t>
  </si>
  <si>
    <t>Campbell Black</t>
  </si>
  <si>
    <t>Michael Commette</t>
  </si>
  <si>
    <t>Zach Lesser</t>
  </si>
  <si>
    <t>Jack Snow</t>
  </si>
  <si>
    <t>Ryan Foshay</t>
  </si>
  <si>
    <t>Teny Davitian</t>
  </si>
  <si>
    <t>Quinn Coogen</t>
  </si>
  <si>
    <t>Kathryn Fegan</t>
  </si>
  <si>
    <t>Banks Buergler</t>
  </si>
  <si>
    <t>Claire Polsinelli</t>
  </si>
  <si>
    <t>Matthew Petruccelli</t>
  </si>
  <si>
    <t>Lottie Robert</t>
  </si>
  <si>
    <t>Bradyn Brooks</t>
  </si>
  <si>
    <t>Julia Green</t>
  </si>
  <si>
    <t>Connor Hogan</t>
  </si>
  <si>
    <t>Ada Jordan</t>
  </si>
  <si>
    <t>John Burns</t>
  </si>
  <si>
    <t>Adelaide Frank</t>
  </si>
  <si>
    <t>David Alves</t>
  </si>
  <si>
    <t>Adam Lessar</t>
  </si>
  <si>
    <t>Charlotte Frank, Elizabeth Alves, Matt Campbell, Joan Green, Adam Lesser</t>
  </si>
  <si>
    <t>Allie Calderon</t>
  </si>
  <si>
    <t>Wendy Jordan</t>
  </si>
  <si>
    <t>A</t>
  </si>
  <si>
    <t>NS</t>
  </si>
  <si>
    <t>Maeve Tompkins</t>
  </si>
  <si>
    <t>Preston Ta</t>
  </si>
  <si>
    <t>Katherine Oswald</t>
  </si>
  <si>
    <t>Jasper Albers</t>
  </si>
  <si>
    <t>Morgan Autry</t>
  </si>
  <si>
    <t>Kenzo Bills</t>
  </si>
  <si>
    <t>Jenna Jair</t>
  </si>
  <si>
    <t>Chase Kemps</t>
  </si>
  <si>
    <t>Olivia Dyer</t>
  </si>
  <si>
    <t>Euston Birkelbach</t>
  </si>
  <si>
    <t>Jacqueline Landry</t>
  </si>
  <si>
    <t>Justin Jair</t>
  </si>
  <si>
    <t>Liesl Birkelbach</t>
  </si>
  <si>
    <t>Luke Tang</t>
  </si>
  <si>
    <t>Eva Pereira</t>
  </si>
  <si>
    <t>Orion Albers</t>
  </si>
  <si>
    <t>Natalia Haley</t>
  </si>
  <si>
    <t>Ryan Guy</t>
  </si>
  <si>
    <t>Gabi Simone</t>
  </si>
  <si>
    <t>Noah Hua</t>
  </si>
  <si>
    <t>Chloe Field</t>
  </si>
  <si>
    <t>John Nguyen</t>
  </si>
  <si>
    <t>Bennett Birkelbach</t>
  </si>
  <si>
    <t>Isabella D'Ambrogi</t>
  </si>
  <si>
    <t>Raito Detten</t>
  </si>
  <si>
    <t>Esperanza Hernandez-Giblin</t>
  </si>
  <si>
    <t>Morgan Milman</t>
  </si>
  <si>
    <t>Michael Sweeney</t>
  </si>
  <si>
    <t>Ethan Simone</t>
  </si>
  <si>
    <t>Jason Detten</t>
  </si>
  <si>
    <t>Emely Simone, Brian Albers, Cathy Field, Quyen Hua, Karissa Sweeney</t>
  </si>
  <si>
    <t>Alma Detten</t>
  </si>
  <si>
    <t>Jessica Albers</t>
  </si>
  <si>
    <t>CSC</t>
  </si>
  <si>
    <t>S</t>
  </si>
  <si>
    <t>Ellie Phillips</t>
  </si>
  <si>
    <t>Matthew Rempe</t>
  </si>
  <si>
    <t>Fiorentina Vargas</t>
  </si>
  <si>
    <t>Noah Pierece</t>
  </si>
  <si>
    <t>Maeve Cahill</t>
  </si>
  <si>
    <t>Fionn Cahill</t>
  </si>
  <si>
    <t>Jolene Fernandes</t>
  </si>
  <si>
    <t>Griffin Mitchell</t>
  </si>
  <si>
    <t>Colette Ungaretti</t>
  </si>
  <si>
    <t>Stevie Simmons</t>
  </si>
  <si>
    <t>Estelle Gianoli</t>
  </si>
  <si>
    <t>Thomas Hiner</t>
  </si>
  <si>
    <t>Penelope Ricaldes</t>
  </si>
  <si>
    <t>Kelsie Trieu</t>
  </si>
  <si>
    <t>June Benson</t>
  </si>
  <si>
    <t>Elle Powers</t>
  </si>
  <si>
    <t>Etain Heron</t>
  </si>
  <si>
    <t>Jules Hiner</t>
  </si>
  <si>
    <t>Emma Magness</t>
  </si>
  <si>
    <t>Graham Benson</t>
  </si>
  <si>
    <t>Brigid Cahill</t>
  </si>
  <si>
    <t>Davey Scharre</t>
  </si>
  <si>
    <t>Abigail Webster</t>
  </si>
  <si>
    <t>Liam Cahill</t>
  </si>
  <si>
    <t>Belle Amatuzzi</t>
  </si>
  <si>
    <t>Samuel Rempe</t>
  </si>
  <si>
    <t>Claire Webster</t>
  </si>
  <si>
    <t>Nathan Pierece</t>
  </si>
  <si>
    <t>Booth Mitchell</t>
  </si>
  <si>
    <t>Nicholas Jemkins</t>
  </si>
  <si>
    <t>Soraya Lora-Pena</t>
  </si>
  <si>
    <t>Henry Martin</t>
  </si>
  <si>
    <t>Karie Egan</t>
  </si>
  <si>
    <t>Caedin Calhoun</t>
  </si>
  <si>
    <t>Kiptyn Trieu</t>
  </si>
  <si>
    <t>Carter Jenkins</t>
  </si>
  <si>
    <t>Grace Partain</t>
  </si>
  <si>
    <t>Cristiano Garcia</t>
  </si>
  <si>
    <t>Rylea Vandenbemden</t>
  </si>
  <si>
    <t>Sheppard Turk</t>
  </si>
  <si>
    <t>Jenna Wathen</t>
  </si>
  <si>
    <t>Isaiah Lora-Pena</t>
  </si>
  <si>
    <t>Addy Vandenbemden</t>
  </si>
  <si>
    <t>Tien Do</t>
  </si>
  <si>
    <t>Cherlyn Jenkins</t>
  </si>
  <si>
    <t>Bryce Mitchell, Briane Powers, Deidre Fuller, Tim Martin, Nick Amatuzzi</t>
  </si>
  <si>
    <t>Kristin Webster</t>
  </si>
  <si>
    <t xml:space="preserve">Kristin Webster </t>
  </si>
  <si>
    <t xml:space="preserve">Marty Martin </t>
  </si>
  <si>
    <t>OH</t>
  </si>
  <si>
    <t>Natalie Aurilio</t>
  </si>
  <si>
    <t>Theo Stratford</t>
  </si>
  <si>
    <t>Mila Gonzales</t>
  </si>
  <si>
    <t>Grant Burgess</t>
  </si>
  <si>
    <t>Elena Johnson</t>
  </si>
  <si>
    <t>Adam Zimmer</t>
  </si>
  <si>
    <t>Lillian Rakip</t>
  </si>
  <si>
    <t>Samuel Kim</t>
  </si>
  <si>
    <t>Taylor Randazzo</t>
  </si>
  <si>
    <t>Adam Boyd</t>
  </si>
  <si>
    <t>Kiera Carpenter</t>
  </si>
  <si>
    <t>Amias Paz</t>
  </si>
  <si>
    <t>Maren Randazzo</t>
  </si>
  <si>
    <t>Ellis Constantine</t>
  </si>
  <si>
    <t>Anna Dreyer</t>
  </si>
  <si>
    <t>Matilda Duffy</t>
  </si>
  <si>
    <t>Caelyn Kramer</t>
  </si>
  <si>
    <t>Hailey Randazzo</t>
  </si>
  <si>
    <t>Chris Buell</t>
  </si>
  <si>
    <t>Emilie Beltz</t>
  </si>
  <si>
    <t>Gaby Kostova</t>
  </si>
  <si>
    <t>Sydney Lawyer</t>
  </si>
  <si>
    <t>Gabby Heredia</t>
  </si>
  <si>
    <t>Sofia Petersen</t>
  </si>
  <si>
    <t>Hannah Wilson</t>
  </si>
  <si>
    <t>Eli Edwards</t>
  </si>
  <si>
    <t>Elia Mazerolle</t>
  </si>
  <si>
    <t>Colby Kogut</t>
  </si>
  <si>
    <t>Peyton Moro</t>
  </si>
  <si>
    <t>Eima Riekse</t>
  </si>
  <si>
    <t>Lily Miller</t>
  </si>
  <si>
    <t>Rebecca Drobnis</t>
  </si>
  <si>
    <t>Grant McClure</t>
  </si>
  <si>
    <t>Aicha Boyd</t>
  </si>
  <si>
    <t>Carlo Vella</t>
  </si>
  <si>
    <t>Katherine McClure</t>
  </si>
  <si>
    <t>Rose Vella, Dani Juarez, Megan Edwards, Jill Randazzo, Christina Hunt</t>
  </si>
  <si>
    <t>Sarah Wolfe</t>
  </si>
  <si>
    <t>Jill Randazzo</t>
  </si>
  <si>
    <t>Christina Hunt</t>
  </si>
  <si>
    <t>HSC</t>
  </si>
  <si>
    <t>SRA</t>
  </si>
  <si>
    <t>Penny Cotter</t>
  </si>
  <si>
    <t>Finn Jackson</t>
  </si>
  <si>
    <t>Claire McAsey</t>
  </si>
  <si>
    <t>Britton Colosi</t>
  </si>
  <si>
    <t>Jordana Ghazal</t>
  </si>
  <si>
    <t>Mackie Cotter</t>
  </si>
  <si>
    <t>Caroline McAsey</t>
  </si>
  <si>
    <t>Amelia Gentry</t>
  </si>
  <si>
    <t>Alicia Pereira Kim</t>
  </si>
  <si>
    <t>Stella Beaman</t>
  </si>
  <si>
    <t>Harper Lichte</t>
  </si>
  <si>
    <t>Maya Robertson</t>
  </si>
  <si>
    <t>Orla Powles</t>
  </si>
  <si>
    <t>Stella Pierre</t>
  </si>
  <si>
    <t>Kate Gentry</t>
  </si>
  <si>
    <t>Tristan Smith</t>
  </si>
  <si>
    <t>Kennedy Anderson</t>
  </si>
  <si>
    <t>Camille Upton</t>
  </si>
  <si>
    <t>Artemisia Hashemi</t>
  </si>
  <si>
    <t>Elise Wise</t>
  </si>
  <si>
    <t>Grace Wegner</t>
  </si>
  <si>
    <t>Anna Pereira Kim</t>
  </si>
  <si>
    <t>Matteo Fazio</t>
  </si>
  <si>
    <t>Abby Pickard</t>
  </si>
  <si>
    <t>JJ Froemke</t>
  </si>
  <si>
    <t>Zachary Kearney</t>
  </si>
  <si>
    <t>Anthony Maull</t>
  </si>
  <si>
    <t>Cooper Short</t>
  </si>
  <si>
    <t>Savas Emanuel</t>
  </si>
  <si>
    <t>Ace Argentieri</t>
  </si>
  <si>
    <t>Phyllis Hashemi</t>
  </si>
  <si>
    <t>Phyllis Hashemi, Rachel Wegner, Katie Upton, Summer Anderson, Robin McGuire</t>
  </si>
  <si>
    <t xml:space="preserve">Phyllis Hashemi </t>
  </si>
  <si>
    <t>danielle cotter</t>
  </si>
  <si>
    <t>PC</t>
  </si>
  <si>
    <t>IC</t>
  </si>
  <si>
    <t>Erin Edwards</t>
  </si>
  <si>
    <t>Timothy Barger</t>
  </si>
  <si>
    <t>Daphne Holler</t>
  </si>
  <si>
    <t>Bobby Ferssizidis</t>
  </si>
  <si>
    <t>Liani Kopek</t>
  </si>
  <si>
    <t>Ryan Kalfus</t>
  </si>
  <si>
    <t>Charith Reddy Vempalli</t>
  </si>
  <si>
    <t>Alex Ferssizidis</t>
  </si>
  <si>
    <t>Rosalie Thornton</t>
  </si>
  <si>
    <t>Andrew Cho</t>
  </si>
  <si>
    <t>Aaron Barger</t>
  </si>
  <si>
    <t>Clara Meyers</t>
  </si>
  <si>
    <t>Luke Havasy</t>
  </si>
  <si>
    <t>Leandra Barger</t>
  </si>
  <si>
    <t>Gia Yappel</t>
  </si>
  <si>
    <t>Emily Bush</t>
  </si>
  <si>
    <t>Grant Thornton</t>
  </si>
  <si>
    <t>Joe Allen</t>
  </si>
  <si>
    <t>Susan Edwards, Joe Allen, Maureen Bush, Andrew Meyers, Meredyth Havasy</t>
  </si>
  <si>
    <t>Patty Ferssizidis</t>
  </si>
  <si>
    <t>Alicia Barger</t>
  </si>
  <si>
    <t>Charles Havasy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</si>
</sst>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0"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b/>
      <sz val="10"/>
      <color rgb="FFFFFFFF"/>
      <name val="Arial"/>
    </font>
    <font>
      <sz val="10"/>
      <color rgb="FFFFFFFF"/>
      <name val="Arial"/>
    </font>
    <font>
      <sz val="8"/>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2"/>
      <color rgb="FF000000"/>
      <name val="Arial"/>
    </font>
    <font>
      <b/>
      <sz val="14"/>
      <color rgb="FFFFFFFF"/>
      <name val="Arial"/>
    </font>
    <font>
      <b/>
      <i/>
      <sz val="14"/>
      <color rgb="FFFFFF00"/>
      <name val="Arial"/>
    </font>
    <font>
      <b/>
      <sz val="24"/>
      <color rgb="FFFFFFFF"/>
      <name val="Arial"/>
    </font>
    <font>
      <b/>
      <i/>
      <sz val="10"/>
      <color rgb="FFF3F3F3"/>
      <name val="Arial"/>
    </font>
    <font>
      <b/>
      <sz val="12"/>
      <color rgb="FF0B5394"/>
      <name val="Arial"/>
    </font>
    <font>
      <i/>
      <sz val="10"/>
      <color rgb="FFFFFFFF"/>
      <name val="Arial"/>
    </font>
    <font>
      <b/>
      <i/>
      <sz val="10"/>
      <color rgb="FFFFFFFF"/>
      <name val="Arial"/>
    </font>
    <font>
      <u/>
      <sz val="10"/>
      <color rgb="FF0000FF"/>
      <name val="Arial"/>
    </font>
    <font>
      <b/>
      <sz val="10"/>
      <color rgb="FF0B5394"/>
      <name val="Arial"/>
    </font>
    <font>
      <u/>
      <sz val="10"/>
      <color rgb="FF0000FF"/>
      <name val="Arial"/>
    </font>
    <font>
      <b/>
      <i/>
      <sz val="10"/>
      <color rgb="FF0B5394"/>
      <name val="Arial"/>
    </font>
    <font>
      <u/>
      <sz val="10"/>
      <color rgb="FF0000FF"/>
      <name val="Arial"/>
    </font>
    <font>
      <sz val="14"/>
      <name val="Arial"/>
    </font>
    <font>
      <sz val="11"/>
      <color rgb="FF000000"/>
      <name val="Inconsolata"/>
    </font>
    <font>
      <sz val="12"/>
      <name val="Arial"/>
    </font>
    <font>
      <b/>
      <i/>
      <sz val="18"/>
      <color rgb="FFFFFFFF"/>
      <name val="Arial"/>
    </font>
    <font>
      <b/>
      <sz val="16"/>
      <color rgb="FFFFFFFF"/>
      <name val="Arial"/>
    </font>
    <font>
      <b/>
      <sz val="18"/>
      <color rgb="FFFFFFFF"/>
      <name val="Arial"/>
    </font>
    <font>
      <b/>
      <sz val="10"/>
      <color rgb="FF0B5394"/>
      <name val="Arial"/>
    </font>
    <font>
      <sz val="10"/>
      <color rgb="FFF3F3F3"/>
      <name val="Arial"/>
    </font>
    <font>
      <i/>
      <sz val="10"/>
      <color rgb="FF0B5394"/>
      <name val="Arial"/>
    </font>
    <font>
      <i/>
      <sz val="10"/>
      <color rgb="FF0B5394"/>
      <name val="Arial"/>
    </font>
    <font>
      <b/>
      <i/>
      <sz val="10"/>
      <name val="Arial"/>
    </font>
    <font>
      <b/>
      <sz val="12"/>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name val="Arial"/>
    </font>
    <font>
      <sz val="10"/>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b/>
      <i/>
      <sz val="14"/>
      <color rgb="FF6FA8DC"/>
      <name val="Arial"/>
    </font>
    <font>
      <b/>
      <i/>
      <sz val="14"/>
      <color rgb="FF00DCDC"/>
      <name val="Arial"/>
    </font>
    <font>
      <b/>
      <i/>
      <u/>
      <sz val="10"/>
      <color rgb="FFFFFFFF"/>
      <name val="Arial"/>
    </font>
    <font>
      <b/>
      <i/>
      <u/>
      <sz val="10"/>
      <color rgb="FFFFFFFF"/>
      <name val="Arial"/>
    </font>
    <font>
      <b/>
      <i/>
      <u/>
      <sz val="10"/>
      <color rgb="FFFFFFFF"/>
      <name val="Arial"/>
    </font>
    <font>
      <b/>
      <i/>
      <u/>
      <sz val="10"/>
      <color rgb="FFFFFFFF"/>
      <name val="Arial"/>
    </font>
    <font>
      <u/>
      <sz val="9"/>
      <color rgb="FF0000FF"/>
      <name val="Calibri"/>
    </font>
    <font>
      <sz val="11"/>
      <color rgb="FF008000"/>
      <name val="Inconsolata"/>
    </font>
    <font>
      <sz val="9"/>
      <color rgb="FF000000"/>
      <name val="Calibri"/>
    </font>
    <font>
      <u/>
      <sz val="9"/>
      <color rgb="FF000000"/>
      <name val="Calibri"/>
    </font>
    <font>
      <sz val="9"/>
      <name val="Calibri"/>
    </font>
    <font>
      <sz val="10"/>
      <name val="Calibri"/>
    </font>
    <font>
      <sz val="11"/>
      <color rgb="FF000000"/>
      <name val="Calibri"/>
    </font>
    <font>
      <sz val="11"/>
      <name val="Calibri"/>
    </font>
  </fonts>
  <fills count="15">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FFFFFF"/>
        <bgColor rgb="FFFFFFFF"/>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63D297"/>
        <bgColor rgb="FF63D297"/>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340">
    <xf numFmtId="0" fontId="0" fillId="0" borderId="0" xfId="0"/>
    <xf numFmtId="0" fontId="1" fillId="2" borderId="0" xfId="0" applyFont="1" applyFill="1" applyAlignment="1">
      <alignment horizontal="center"/>
    </xf>
    <xf numFmtId="0" fontId="3" fillId="0" borderId="0" xfId="0" applyFont="1"/>
    <xf numFmtId="0" fontId="3" fillId="3" borderId="0" xfId="0" applyFont="1" applyFill="1"/>
    <xf numFmtId="0" fontId="10" fillId="5" borderId="0" xfId="0" applyFont="1" applyFill="1" applyAlignment="1">
      <alignment vertical="top"/>
    </xf>
    <xf numFmtId="0" fontId="11" fillId="2" borderId="0" xfId="0" applyFont="1" applyFill="1" applyAlignment="1">
      <alignment horizontal="center" vertical="center"/>
    </xf>
    <xf numFmtId="0" fontId="12" fillId="2" borderId="0" xfId="0" applyFont="1" applyFill="1"/>
    <xf numFmtId="14" fontId="13" fillId="6" borderId="4" xfId="0" applyNumberFormat="1" applyFont="1" applyFill="1" applyBorder="1" applyAlignment="1">
      <alignment horizontal="center"/>
    </xf>
    <xf numFmtId="0" fontId="14" fillId="2" borderId="0" xfId="0" applyFont="1" applyFill="1"/>
    <xf numFmtId="0" fontId="1" fillId="2" borderId="0" xfId="0" applyFont="1" applyFill="1"/>
    <xf numFmtId="0" fontId="15" fillId="2" borderId="0" xfId="0" applyFont="1" applyFill="1"/>
    <xf numFmtId="0" fontId="16" fillId="2" borderId="0" xfId="0" applyFont="1" applyFill="1" applyAlignment="1">
      <alignment horizontal="right"/>
    </xf>
    <xf numFmtId="0" fontId="17" fillId="2" borderId="0" xfId="0" applyFont="1" applyFill="1" applyAlignment="1">
      <alignment horizontal="right"/>
    </xf>
    <xf numFmtId="0" fontId="17" fillId="3" borderId="0" xfId="0" applyFont="1" applyFill="1" applyAlignment="1">
      <alignment horizontal="right"/>
    </xf>
    <xf numFmtId="0" fontId="17" fillId="0" borderId="0" xfId="0" applyFont="1" applyAlignment="1">
      <alignment horizontal="right"/>
    </xf>
    <xf numFmtId="0" fontId="18" fillId="0" borderId="0" xfId="0" applyFont="1" applyAlignment="1">
      <alignment horizontal="center"/>
    </xf>
    <xf numFmtId="0" fontId="19" fillId="2" borderId="0" xfId="0" applyFont="1" applyFill="1" applyAlignment="1">
      <alignment horizontal="center" vertical="top"/>
    </xf>
    <xf numFmtId="0" fontId="19" fillId="2" borderId="0" xfId="0" applyFont="1" applyFill="1" applyAlignment="1">
      <alignment horizontal="center"/>
    </xf>
    <xf numFmtId="0" fontId="20" fillId="2" borderId="0" xfId="0" applyFont="1" applyFill="1"/>
    <xf numFmtId="0" fontId="20" fillId="2" borderId="0" xfId="0" applyFont="1" applyFill="1" applyAlignment="1">
      <alignment horizontal="left"/>
    </xf>
    <xf numFmtId="0" fontId="14" fillId="3" borderId="0" xfId="0" applyFont="1" applyFill="1"/>
    <xf numFmtId="0" fontId="14" fillId="0" borderId="0" xfId="0" applyFont="1"/>
    <xf numFmtId="0" fontId="23" fillId="2" borderId="0" xfId="0" applyFont="1" applyFill="1" applyAlignment="1">
      <alignment horizontal="center" vertical="top"/>
    </xf>
    <xf numFmtId="0" fontId="2" fillId="2" borderId="0" xfId="0" applyFont="1" applyFill="1" applyAlignment="1">
      <alignment vertical="top"/>
    </xf>
    <xf numFmtId="0" fontId="24" fillId="2" borderId="0" xfId="0" applyFont="1" applyFill="1" applyAlignment="1">
      <alignment horizontal="center" vertical="top"/>
    </xf>
    <xf numFmtId="14" fontId="26" fillId="8" borderId="4" xfId="0" applyNumberFormat="1" applyFont="1" applyFill="1" applyBorder="1" applyAlignment="1">
      <alignment vertical="top"/>
    </xf>
    <xf numFmtId="0" fontId="3" fillId="8" borderId="4" xfId="0" applyFont="1" applyFill="1" applyBorder="1" applyAlignment="1">
      <alignment vertical="top" wrapText="1"/>
    </xf>
    <xf numFmtId="0" fontId="27" fillId="2" borderId="0" xfId="0" applyFont="1" applyFill="1"/>
    <xf numFmtId="0" fontId="27" fillId="3" borderId="0" xfId="0" applyFont="1" applyFill="1"/>
    <xf numFmtId="0" fontId="7" fillId="0" borderId="0" xfId="0" applyFont="1" applyAlignment="1">
      <alignment horizontal="right" vertical="top"/>
    </xf>
    <xf numFmtId="0" fontId="7" fillId="0" borderId="0" xfId="0" applyFont="1" applyAlignment="1">
      <alignment horizontal="center" vertical="top"/>
    </xf>
    <xf numFmtId="0" fontId="6" fillId="2" borderId="0" xfId="0" applyFont="1" applyFill="1" applyAlignment="1">
      <alignment horizontal="center"/>
    </xf>
    <xf numFmtId="14" fontId="28" fillId="8" borderId="5" xfId="0" applyNumberFormat="1" applyFont="1" applyFill="1" applyBorder="1" applyAlignment="1">
      <alignment vertical="top"/>
    </xf>
    <xf numFmtId="0" fontId="29" fillId="2" borderId="0" xfId="0" applyFont="1" applyFill="1"/>
    <xf numFmtId="0" fontId="29" fillId="3" borderId="0" xfId="0" applyFont="1" applyFill="1"/>
    <xf numFmtId="14" fontId="30"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7" fillId="2" borderId="0" xfId="0" applyFont="1" applyFill="1" applyAlignment="1">
      <alignment vertical="top"/>
    </xf>
    <xf numFmtId="0" fontId="14" fillId="2" borderId="0" xfId="0" applyFont="1" applyFill="1" applyAlignment="1">
      <alignment vertical="top"/>
    </xf>
    <xf numFmtId="0" fontId="31" fillId="2" borderId="6" xfId="0" applyFont="1" applyFill="1" applyBorder="1" applyAlignment="1">
      <alignment vertical="top"/>
    </xf>
    <xf numFmtId="0" fontId="14" fillId="2" borderId="0" xfId="0" applyFont="1" applyFill="1" applyAlignment="1">
      <alignment vertical="center"/>
    </xf>
    <xf numFmtId="0" fontId="32" fillId="9" borderId="7" xfId="0" applyFont="1" applyFill="1" applyBorder="1"/>
    <xf numFmtId="0" fontId="33" fillId="2" borderId="0" xfId="0" applyFont="1" applyFill="1"/>
    <xf numFmtId="14" fontId="34" fillId="6" borderId="4" xfId="0" applyNumberFormat="1" applyFont="1" applyFill="1" applyBorder="1" applyAlignment="1">
      <alignment horizontal="center"/>
    </xf>
    <xf numFmtId="0" fontId="35" fillId="2" borderId="0" xfId="0" applyFont="1" applyFill="1"/>
    <xf numFmtId="0" fontId="36" fillId="2" borderId="0" xfId="0" applyFont="1" applyFill="1" applyAlignment="1">
      <alignment horizontal="right"/>
    </xf>
    <xf numFmtId="0" fontId="38" fillId="0" borderId="0" xfId="0" applyFont="1" applyAlignment="1">
      <alignment horizontal="center"/>
    </xf>
    <xf numFmtId="0" fontId="2" fillId="2" borderId="0" xfId="0" applyFont="1" applyFill="1" applyAlignment="1">
      <alignment horizontal="center"/>
    </xf>
    <xf numFmtId="0" fontId="39" fillId="2" borderId="0" xfId="0" applyFont="1" applyFill="1" applyAlignment="1">
      <alignment horizontal="center"/>
    </xf>
    <xf numFmtId="0" fontId="2" fillId="2" borderId="0" xfId="0" applyFont="1" applyFill="1"/>
    <xf numFmtId="0" fontId="40" fillId="2" borderId="0" xfId="0" applyFont="1" applyFill="1" applyAlignment="1">
      <alignment horizontal="center"/>
    </xf>
    <xf numFmtId="0" fontId="41" fillId="2" borderId="0" xfId="0" applyFont="1" applyFill="1"/>
    <xf numFmtId="0" fontId="42" fillId="2" borderId="0" xfId="0" applyFont="1" applyFill="1" applyAlignment="1">
      <alignment horizontal="right"/>
    </xf>
    <xf numFmtId="0" fontId="43" fillId="2" borderId="0" xfId="0" applyFont="1" applyFill="1" applyAlignment="1">
      <alignment horizontal="center"/>
    </xf>
    <xf numFmtId="0" fontId="19" fillId="2" borderId="0" xfId="0" applyFont="1" applyFill="1" applyAlignment="1">
      <alignment horizontal="right"/>
    </xf>
    <xf numFmtId="0" fontId="44" fillId="2" borderId="0" xfId="0" applyFont="1" applyFill="1" applyAlignment="1">
      <alignment horizontal="center"/>
    </xf>
    <xf numFmtId="0" fontId="45" fillId="2" borderId="0" xfId="0" applyFont="1" applyFill="1"/>
    <xf numFmtId="0" fontId="46" fillId="2" borderId="0" xfId="0" applyFont="1" applyFill="1" applyAlignment="1">
      <alignment horizontal="center"/>
    </xf>
    <xf numFmtId="0" fontId="12" fillId="2" borderId="0" xfId="0" applyFont="1" applyFill="1" applyAlignment="1">
      <alignment horizontal="right"/>
    </xf>
    <xf numFmtId="0" fontId="16" fillId="2" borderId="6" xfId="0" applyFont="1" applyFill="1" applyBorder="1" applyAlignment="1">
      <alignment horizontal="right"/>
    </xf>
    <xf numFmtId="0" fontId="1" fillId="0" borderId="8" xfId="0" applyFont="1" applyBorder="1" applyAlignment="1">
      <alignment horizontal="right"/>
    </xf>
    <xf numFmtId="0" fontId="48" fillId="0" borderId="0" xfId="0" applyFont="1"/>
    <xf numFmtId="0" fontId="5" fillId="0" borderId="0" xfId="0" applyFont="1" applyAlignment="1">
      <alignment horizontal="center"/>
    </xf>
    <xf numFmtId="0" fontId="5" fillId="10" borderId="1" xfId="0" applyFont="1" applyFill="1" applyBorder="1" applyAlignment="1">
      <alignment horizontal="right" vertical="top"/>
    </xf>
    <xf numFmtId="0" fontId="1" fillId="0" borderId="0" xfId="0" applyFont="1" applyAlignment="1">
      <alignment horizontal="right"/>
    </xf>
    <xf numFmtId="0" fontId="3" fillId="0" borderId="0" xfId="0" applyFont="1" applyAlignment="1">
      <alignment vertical="top"/>
    </xf>
    <xf numFmtId="0" fontId="15" fillId="0" borderId="0" xfId="0" applyFont="1"/>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1" borderId="4" xfId="0" applyFont="1" applyFill="1" applyBorder="1" applyAlignment="1">
      <alignment horizontal="center" vertical="top"/>
    </xf>
    <xf numFmtId="0" fontId="15"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1"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9" fillId="12" borderId="4" xfId="0" applyFont="1" applyFill="1" applyBorder="1" applyAlignment="1">
      <alignment vertical="top"/>
    </xf>
    <xf numFmtId="0" fontId="50" fillId="12" borderId="3" xfId="0" applyFont="1" applyFill="1" applyBorder="1" applyAlignment="1">
      <alignment horizontal="right" vertical="top"/>
    </xf>
    <xf numFmtId="0" fontId="50" fillId="12" borderId="3" xfId="0" applyFont="1" applyFill="1" applyBorder="1" applyAlignment="1">
      <alignment vertical="top"/>
    </xf>
    <xf numFmtId="0" fontId="50" fillId="12" borderId="3" xfId="0" applyFont="1" applyFill="1" applyBorder="1" applyAlignment="1">
      <alignment horizontal="center" vertical="top"/>
    </xf>
    <xf numFmtId="0" fontId="49" fillId="12" borderId="3" xfId="0" applyFont="1" applyFill="1" applyBorder="1" applyAlignment="1">
      <alignment horizontal="center" vertical="top"/>
    </xf>
    <xf numFmtId="0" fontId="49" fillId="0" borderId="0" xfId="0" applyFont="1" applyAlignment="1">
      <alignment vertical="top"/>
    </xf>
    <xf numFmtId="0" fontId="17" fillId="0" borderId="11" xfId="0" applyFont="1" applyBorder="1" applyAlignment="1">
      <alignment vertical="top"/>
    </xf>
    <xf numFmtId="0" fontId="49" fillId="12" borderId="3" xfId="0" applyFont="1" applyFill="1" applyBorder="1" applyAlignment="1">
      <alignment vertical="top"/>
    </xf>
    <xf numFmtId="0" fontId="49" fillId="0" borderId="12" xfId="0" applyFont="1" applyBorder="1" applyAlignment="1">
      <alignment horizontal="center" vertical="top"/>
    </xf>
    <xf numFmtId="0" fontId="49" fillId="0" borderId="12" xfId="0" applyFont="1" applyBorder="1" applyAlignment="1">
      <alignment horizontal="left" vertical="top" wrapText="1"/>
    </xf>
    <xf numFmtId="4" fontId="49" fillId="0" borderId="4" xfId="0" applyNumberFormat="1" applyFont="1" applyBorder="1" applyAlignment="1">
      <alignment horizontal="center" vertical="top"/>
    </xf>
    <xf numFmtId="0" fontId="49" fillId="12" borderId="12" xfId="0" applyFont="1" applyFill="1" applyBorder="1" applyAlignment="1">
      <alignment horizontal="center" vertical="top"/>
    </xf>
    <xf numFmtId="0" fontId="17" fillId="0" borderId="0" xfId="0" applyFont="1" applyAlignment="1">
      <alignment vertical="top"/>
    </xf>
    <xf numFmtId="4" fontId="49" fillId="0" borderId="5" xfId="0" applyNumberFormat="1" applyFont="1" applyBorder="1" applyAlignment="1">
      <alignment horizontal="center" vertical="top"/>
    </xf>
    <xf numFmtId="0" fontId="49" fillId="0" borderId="12" xfId="0" applyFont="1" applyBorder="1" applyAlignment="1">
      <alignment vertical="top"/>
    </xf>
    <xf numFmtId="0" fontId="51" fillId="0" borderId="12" xfId="0" applyFont="1" applyBorder="1" applyAlignment="1">
      <alignment horizontal="center" vertical="top"/>
    </xf>
    <xf numFmtId="0" fontId="49" fillId="0" borderId="0" xfId="0" applyFont="1" applyAlignment="1">
      <alignment horizontal="center" vertical="top"/>
    </xf>
    <xf numFmtId="0" fontId="49" fillId="0" borderId="6" xfId="0" applyFont="1" applyBorder="1" applyAlignment="1">
      <alignment vertical="top"/>
    </xf>
    <xf numFmtId="0" fontId="49" fillId="0" borderId="6" xfId="0" applyFont="1" applyBorder="1" applyAlignment="1">
      <alignment horizontal="center" vertical="top"/>
    </xf>
    <xf numFmtId="0" fontId="49" fillId="13" borderId="5" xfId="0" applyFont="1" applyFill="1" applyBorder="1" applyAlignment="1">
      <alignment vertical="top"/>
    </xf>
    <xf numFmtId="0" fontId="50" fillId="13" borderId="12" xfId="0" applyFont="1" applyFill="1" applyBorder="1" applyAlignment="1">
      <alignment horizontal="right" vertical="top"/>
    </xf>
    <xf numFmtId="0" fontId="50" fillId="13" borderId="12" xfId="0" applyFont="1" applyFill="1" applyBorder="1" applyAlignment="1">
      <alignment vertical="top"/>
    </xf>
    <xf numFmtId="0" fontId="50" fillId="13" borderId="12" xfId="0" applyFont="1" applyFill="1" applyBorder="1" applyAlignment="1">
      <alignment horizontal="center" vertical="top"/>
    </xf>
    <xf numFmtId="0" fontId="49" fillId="13" borderId="12" xfId="0" applyFont="1" applyFill="1" applyBorder="1" applyAlignment="1">
      <alignment horizontal="center" vertical="top"/>
    </xf>
    <xf numFmtId="0" fontId="49" fillId="13" borderId="4" xfId="0" applyFont="1" applyFill="1" applyBorder="1" applyAlignment="1">
      <alignment vertical="top"/>
    </xf>
    <xf numFmtId="0" fontId="50" fillId="13" borderId="3" xfId="0" applyFont="1" applyFill="1" applyBorder="1" applyAlignment="1">
      <alignment horizontal="right" vertical="top"/>
    </xf>
    <xf numFmtId="0" fontId="49" fillId="0" borderId="5" xfId="0" applyFont="1" applyBorder="1" applyAlignment="1">
      <alignment horizontal="center" vertical="top"/>
    </xf>
    <xf numFmtId="0" fontId="49" fillId="12" borderId="5" xfId="0" applyFont="1" applyFill="1" applyBorder="1" applyAlignment="1">
      <alignment vertical="top"/>
    </xf>
    <xf numFmtId="0" fontId="50" fillId="12" borderId="12" xfId="0" applyFont="1" applyFill="1" applyBorder="1" applyAlignment="1">
      <alignment horizontal="right" vertical="top"/>
    </xf>
    <xf numFmtId="0" fontId="50" fillId="12" borderId="12" xfId="0" applyFont="1" applyFill="1" applyBorder="1" applyAlignment="1">
      <alignment vertical="top"/>
    </xf>
    <xf numFmtId="0" fontId="50" fillId="12" borderId="12" xfId="0" applyFont="1" applyFill="1" applyBorder="1" applyAlignment="1">
      <alignment horizontal="center" vertical="top"/>
    </xf>
    <xf numFmtId="0" fontId="49" fillId="12" borderId="12" xfId="0" applyFont="1" applyFill="1" applyBorder="1" applyAlignment="1">
      <alignment vertical="top"/>
    </xf>
    <xf numFmtId="0" fontId="49" fillId="13" borderId="12" xfId="0" applyFont="1" applyFill="1" applyBorder="1" applyAlignment="1">
      <alignment vertical="top"/>
    </xf>
    <xf numFmtId="0" fontId="3" fillId="0" borderId="0" xfId="0" applyFont="1" applyAlignment="1">
      <alignment horizontal="center" vertical="top"/>
    </xf>
    <xf numFmtId="0" fontId="51" fillId="0" borderId="0" xfId="0" applyFont="1" applyAlignment="1">
      <alignment vertical="top"/>
    </xf>
    <xf numFmtId="0" fontId="8" fillId="0" borderId="0" xfId="0" applyFont="1" applyAlignment="1">
      <alignment vertical="top"/>
    </xf>
    <xf numFmtId="0" fontId="52" fillId="0" borderId="0" xfId="0" applyFont="1" applyAlignment="1">
      <alignment vertical="top"/>
    </xf>
    <xf numFmtId="0" fontId="8" fillId="0" borderId="0" xfId="0" applyFont="1" applyAlignment="1">
      <alignment vertical="top" wrapText="1"/>
    </xf>
    <xf numFmtId="0" fontId="49" fillId="0" borderId="0" xfId="0" applyFont="1" applyAlignment="1">
      <alignment vertical="top" wrapText="1"/>
    </xf>
    <xf numFmtId="0" fontId="7" fillId="0" borderId="0" xfId="0" applyFont="1" applyAlignment="1">
      <alignment vertical="top"/>
    </xf>
    <xf numFmtId="0" fontId="53" fillId="2" borderId="0" xfId="0" applyFont="1" applyFill="1" applyAlignment="1">
      <alignment horizontal="center" vertical="top"/>
    </xf>
    <xf numFmtId="0" fontId="12" fillId="2" borderId="0" xfId="0" applyFont="1" applyFill="1" applyAlignment="1">
      <alignment vertical="top"/>
    </xf>
    <xf numFmtId="0" fontId="19" fillId="2" borderId="0" xfId="0" applyFont="1" applyFill="1" applyAlignment="1">
      <alignment horizontal="right" vertical="top"/>
    </xf>
    <xf numFmtId="0" fontId="44" fillId="2" borderId="0" xfId="0" applyFont="1" applyFill="1" applyAlignment="1">
      <alignment horizontal="center" vertical="top"/>
    </xf>
    <xf numFmtId="0" fontId="45" fillId="2" borderId="0" xfId="0" applyFont="1" applyFill="1" applyAlignment="1">
      <alignment horizontal="center" vertical="top"/>
    </xf>
    <xf numFmtId="0" fontId="45" fillId="2" borderId="0" xfId="0" applyFont="1" applyFill="1" applyAlignment="1">
      <alignment vertical="top"/>
    </xf>
    <xf numFmtId="0" fontId="17" fillId="2" borderId="0" xfId="0" applyFont="1" applyFill="1" applyAlignment="1">
      <alignment horizontal="center" vertical="top"/>
    </xf>
    <xf numFmtId="0" fontId="55" fillId="2" borderId="0" xfId="0" applyFont="1" applyFill="1" applyAlignment="1">
      <alignment horizontal="center" vertical="top"/>
    </xf>
    <xf numFmtId="0" fontId="33" fillId="2" borderId="0" xfId="0" applyFont="1" applyFill="1" applyAlignment="1">
      <alignment vertical="top"/>
    </xf>
    <xf numFmtId="0" fontId="15" fillId="2" borderId="0" xfId="0" applyFont="1" applyFill="1" applyAlignment="1">
      <alignment vertical="top"/>
    </xf>
    <xf numFmtId="0" fontId="14" fillId="2" borderId="0" xfId="0" applyFont="1" applyFill="1" applyAlignment="1">
      <alignment horizontal="center" vertical="top"/>
    </xf>
    <xf numFmtId="0" fontId="16" fillId="2" borderId="0" xfId="0" applyFont="1" applyFill="1" applyAlignment="1">
      <alignment horizontal="right" vertical="top"/>
    </xf>
    <xf numFmtId="0" fontId="12" fillId="2" borderId="0" xfId="0" applyFont="1" applyFill="1" applyAlignment="1">
      <alignment horizontal="right" vertical="top"/>
    </xf>
    <xf numFmtId="0" fontId="16" fillId="2" borderId="6" xfId="0" applyFont="1" applyFill="1" applyBorder="1" applyAlignment="1">
      <alignment horizontal="right" vertical="top"/>
    </xf>
    <xf numFmtId="0" fontId="48" fillId="0" borderId="0" xfId="0" applyFont="1" applyAlignment="1">
      <alignment horizontal="center"/>
    </xf>
    <xf numFmtId="0" fontId="6" fillId="7" borderId="1" xfId="0" applyFont="1" applyFill="1" applyBorder="1" applyAlignment="1">
      <alignment horizontal="right"/>
    </xf>
    <xf numFmtId="0" fontId="56" fillId="7" borderId="4" xfId="0" applyFont="1" applyFill="1" applyBorder="1" applyAlignment="1">
      <alignment horizontal="center" vertical="center"/>
    </xf>
    <xf numFmtId="0" fontId="48" fillId="7" borderId="4" xfId="0" applyFont="1" applyFill="1" applyBorder="1"/>
    <xf numFmtId="0" fontId="5" fillId="10" borderId="1" xfId="0" applyFont="1" applyFill="1" applyBorder="1" applyAlignment="1">
      <alignment horizontal="right"/>
    </xf>
    <xf numFmtId="0" fontId="57" fillId="10" borderId="4" xfId="0" applyFont="1" applyFill="1" applyBorder="1" applyAlignment="1">
      <alignment horizontal="center" vertical="center"/>
    </xf>
    <xf numFmtId="0" fontId="48" fillId="10" borderId="4" xfId="0" applyFont="1" applyFill="1" applyBorder="1"/>
    <xf numFmtId="0" fontId="41" fillId="7" borderId="4" xfId="0" applyFont="1" applyFill="1" applyBorder="1"/>
    <xf numFmtId="0" fontId="5" fillId="7" borderId="4" xfId="0" applyFont="1" applyFill="1" applyBorder="1" applyAlignment="1">
      <alignment horizontal="center"/>
    </xf>
    <xf numFmtId="0" fontId="5" fillId="10" borderId="4" xfId="0" applyFont="1" applyFill="1" applyBorder="1" applyAlignment="1">
      <alignment horizontal="center"/>
    </xf>
    <xf numFmtId="0" fontId="17" fillId="2" borderId="0" xfId="0" applyFont="1" applyFill="1" applyAlignment="1">
      <alignment horizontal="right" vertical="top"/>
    </xf>
    <xf numFmtId="0" fontId="6" fillId="7" borderId="1" xfId="0" applyFont="1" applyFill="1" applyBorder="1" applyAlignment="1">
      <alignment horizontal="right" vertical="top"/>
    </xf>
    <xf numFmtId="0" fontId="56" fillId="7" borderId="4" xfId="0" applyFont="1" applyFill="1" applyBorder="1" applyAlignment="1">
      <alignment horizontal="center" vertical="top"/>
    </xf>
    <xf numFmtId="0" fontId="48" fillId="7"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57" fillId="10" borderId="4" xfId="0" applyFont="1" applyFill="1" applyBorder="1" applyAlignment="1">
      <alignment horizontal="center" vertical="top"/>
    </xf>
    <xf numFmtId="0" fontId="48" fillId="10" borderId="4" xfId="0" applyFont="1" applyFill="1" applyBorder="1" applyAlignment="1">
      <alignment vertical="top"/>
    </xf>
    <xf numFmtId="0" fontId="41" fillId="7" borderId="4" xfId="0" applyFont="1" applyFill="1" applyBorder="1" applyAlignment="1">
      <alignment vertical="top"/>
    </xf>
    <xf numFmtId="0" fontId="5" fillId="7" borderId="4" xfId="0" applyFont="1" applyFill="1" applyBorder="1" applyAlignment="1">
      <alignment horizontal="center" vertical="top"/>
    </xf>
    <xf numFmtId="0" fontId="48" fillId="0" borderId="0" xfId="0" applyFont="1" applyAlignment="1">
      <alignment vertical="top"/>
    </xf>
    <xf numFmtId="0" fontId="4" fillId="0" borderId="0" xfId="0" applyFont="1" applyAlignment="1">
      <alignment vertical="top"/>
    </xf>
    <xf numFmtId="0" fontId="5" fillId="10" borderId="4" xfId="0" applyFont="1" applyFill="1" applyBorder="1" applyAlignment="1">
      <alignment horizontal="center" vertical="top"/>
    </xf>
    <xf numFmtId="0" fontId="3" fillId="0" borderId="4" xfId="0" applyFont="1" applyBorder="1" applyAlignment="1">
      <alignment horizontal="right" vertical="top"/>
    </xf>
    <xf numFmtId="0" fontId="6" fillId="0" borderId="4" xfId="0" applyFont="1" applyBorder="1" applyAlignment="1">
      <alignment vertical="top"/>
    </xf>
    <xf numFmtId="0" fontId="41" fillId="2" borderId="0" xfId="0" applyFont="1" applyFill="1" applyAlignment="1">
      <alignment vertical="top"/>
    </xf>
    <xf numFmtId="0" fontId="42" fillId="2" borderId="0" xfId="0" applyFont="1" applyFill="1" applyAlignment="1">
      <alignment horizontal="right" vertical="top"/>
    </xf>
    <xf numFmtId="0" fontId="49" fillId="12" borderId="4" xfId="0" applyFont="1" applyFill="1" applyBorder="1"/>
    <xf numFmtId="0" fontId="49" fillId="0" borderId="0" xfId="0" applyFont="1"/>
    <xf numFmtId="0" fontId="49" fillId="0" borderId="6" xfId="0" applyFont="1" applyBorder="1"/>
    <xf numFmtId="0" fontId="49" fillId="13" borderId="5" xfId="0" applyFont="1" applyFill="1" applyBorder="1"/>
    <xf numFmtId="0" fontId="49" fillId="13" borderId="4" xfId="0" applyFont="1" applyFill="1" applyBorder="1"/>
    <xf numFmtId="0" fontId="49" fillId="12" borderId="5" xfId="0" applyFont="1" applyFill="1" applyBorder="1"/>
    <xf numFmtId="0" fontId="17"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5" fillId="5" borderId="0" xfId="0" applyFont="1" applyFill="1"/>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51"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62" fillId="0" borderId="0" xfId="0" applyFont="1"/>
    <xf numFmtId="0" fontId="63" fillId="4" borderId="0" xfId="0" applyFont="1" applyFill="1"/>
    <xf numFmtId="0" fontId="63" fillId="4" borderId="15" xfId="0" applyFont="1" applyFill="1" applyBorder="1"/>
    <xf numFmtId="0" fontId="64" fillId="0" borderId="0" xfId="0" applyFont="1" applyAlignment="1">
      <alignment horizontal="left"/>
    </xf>
    <xf numFmtId="0" fontId="32" fillId="0" borderId="0" xfId="0" applyFont="1"/>
    <xf numFmtId="0" fontId="65" fillId="0" borderId="0" xfId="0" applyFont="1" applyAlignment="1">
      <alignment horizontal="left"/>
    </xf>
    <xf numFmtId="0" fontId="66" fillId="0" borderId="0" xfId="0" applyFont="1"/>
    <xf numFmtId="0" fontId="67" fillId="0" borderId="0" xfId="0" applyFont="1" applyAlignment="1">
      <alignment horizontal="center"/>
    </xf>
    <xf numFmtId="0" fontId="67" fillId="0" borderId="0" xfId="0" applyFont="1"/>
    <xf numFmtId="0" fontId="17" fillId="5" borderId="0" xfId="0" applyFont="1" applyFill="1" applyAlignment="1">
      <alignment horizontal="right"/>
    </xf>
    <xf numFmtId="0" fontId="15" fillId="5" borderId="0" xfId="0" applyFont="1" applyFill="1" applyAlignment="1">
      <alignment horizontal="left"/>
    </xf>
    <xf numFmtId="0" fontId="51" fillId="0" borderId="0" xfId="0" applyFont="1" applyAlignment="1">
      <alignment horizontal="center"/>
    </xf>
    <xf numFmtId="0" fontId="51" fillId="0" borderId="0" xfId="0" applyFont="1" applyAlignment="1">
      <alignment horizontal="center" wrapText="1"/>
    </xf>
    <xf numFmtId="0" fontId="68" fillId="0" borderId="0" xfId="0" applyFont="1" applyAlignment="1">
      <alignment horizontal="left"/>
    </xf>
    <xf numFmtId="0" fontId="49" fillId="0" borderId="0" xfId="0" applyFont="1" applyAlignment="1">
      <alignment horizontal="center"/>
    </xf>
    <xf numFmtId="0" fontId="69" fillId="0" borderId="0" xfId="0" applyFont="1" applyAlignment="1">
      <alignment horizontal="left"/>
    </xf>
    <xf numFmtId="0" fontId="13" fillId="6" borderId="1" xfId="0" applyFont="1" applyFill="1" applyBorder="1" applyAlignment="1">
      <alignment horizontal="center" vertical="top"/>
    </xf>
    <xf numFmtId="0" fontId="13" fillId="6" borderId="2" xfId="0" applyFont="1" applyFill="1" applyBorder="1" applyAlignment="1">
      <alignment horizontal="center" vertical="top"/>
    </xf>
    <xf numFmtId="0" fontId="13" fillId="6" borderId="3" xfId="0" applyFont="1" applyFill="1" applyBorder="1" applyAlignment="1">
      <alignment horizontal="center" vertical="top"/>
    </xf>
    <xf numFmtId="0" fontId="1" fillId="2" borderId="2" xfId="0" applyFont="1" applyFill="1" applyBorder="1" applyAlignment="1">
      <alignment horizontal="center" vertical="top"/>
    </xf>
    <xf numFmtId="0" fontId="25" fillId="6" borderId="1" xfId="0" applyFont="1" applyFill="1" applyBorder="1" applyAlignment="1">
      <alignment horizontal="center" vertical="top"/>
    </xf>
    <xf numFmtId="0" fontId="25" fillId="6" borderId="3" xfId="0" applyFont="1" applyFill="1" applyBorder="1" applyAlignment="1">
      <alignment horizontal="center" vertical="top"/>
    </xf>
    <xf numFmtId="0" fontId="1" fillId="2" borderId="10" xfId="0" applyFont="1" applyFill="1" applyBorder="1" applyAlignment="1">
      <alignment horizontal="center"/>
    </xf>
    <xf numFmtId="0" fontId="13" fillId="7" borderId="1" xfId="0" applyFont="1" applyFill="1" applyBorder="1" applyAlignment="1">
      <alignment horizontal="center" vertical="top"/>
    </xf>
    <xf numFmtId="0" fontId="13" fillId="7" borderId="2" xfId="0" applyFont="1" applyFill="1" applyBorder="1" applyAlignment="1">
      <alignment horizontal="center" vertical="top"/>
    </xf>
    <xf numFmtId="0" fontId="23" fillId="2" borderId="0" xfId="0" applyFont="1" applyFill="1" applyAlignment="1">
      <alignment horizontal="center" vertical="top"/>
    </xf>
    <xf numFmtId="0" fontId="16" fillId="2" borderId="0" xfId="0" applyFont="1" applyFill="1" applyAlignment="1">
      <alignment horizontal="center" vertical="top"/>
    </xf>
    <xf numFmtId="0" fontId="21" fillId="2" borderId="0" xfId="0" applyFont="1" applyFill="1" applyAlignment="1">
      <alignment horizontal="center" vertical="center"/>
    </xf>
    <xf numFmtId="0" fontId="21" fillId="2" borderId="11" xfId="0" applyFont="1" applyFill="1" applyBorder="1" applyAlignment="1">
      <alignment horizontal="center" vertical="center"/>
    </xf>
    <xf numFmtId="0" fontId="22" fillId="7" borderId="1" xfId="0" applyFont="1" applyFill="1" applyBorder="1" applyAlignment="1">
      <alignment horizontal="center" vertical="top"/>
    </xf>
    <xf numFmtId="0" fontId="22" fillId="7" borderId="3" xfId="0" applyFont="1" applyFill="1" applyBorder="1" applyAlignment="1">
      <alignment horizontal="center" vertical="top"/>
    </xf>
    <xf numFmtId="0" fontId="25" fillId="7" borderId="1" xfId="0" applyFont="1" applyFill="1" applyBorder="1" applyAlignment="1">
      <alignment horizontal="center" vertical="top"/>
    </xf>
    <xf numFmtId="0" fontId="25" fillId="7" borderId="3" xfId="0" applyFont="1" applyFill="1" applyBorder="1" applyAlignment="1">
      <alignment horizontal="center" vertical="top"/>
    </xf>
    <xf numFmtId="0" fontId="10" fillId="5" borderId="0" xfId="0" applyFont="1" applyFill="1" applyAlignment="1">
      <alignment vertical="top" wrapText="1"/>
    </xf>
    <xf numFmtId="0" fontId="19" fillId="2" borderId="0" xfId="0" applyFont="1" applyFill="1" applyAlignment="1">
      <alignment horizontal="center" vertical="top"/>
    </xf>
    <xf numFmtId="0" fontId="1" fillId="2" borderId="6" xfId="0" applyFont="1" applyFill="1" applyBorder="1" applyAlignment="1">
      <alignment horizontal="center"/>
    </xf>
    <xf numFmtId="0" fontId="16" fillId="2" borderId="0" xfId="0" applyFont="1" applyFill="1" applyAlignment="1">
      <alignment horizontal="center"/>
    </xf>
    <xf numFmtId="0" fontId="6" fillId="0" borderId="1" xfId="0" applyFont="1" applyBorder="1" applyAlignment="1">
      <alignment horizontal="center" vertical="top"/>
    </xf>
    <xf numFmtId="0" fontId="3" fillId="0" borderId="2" xfId="0" applyFont="1" applyBorder="1"/>
    <xf numFmtId="0" fontId="8" fillId="3" borderId="1" xfId="0" applyFont="1" applyFill="1" applyBorder="1" applyAlignment="1">
      <alignment vertical="top"/>
    </xf>
    <xf numFmtId="0" fontId="3" fillId="0" borderId="3" xfId="0" applyFont="1" applyBorder="1"/>
    <xf numFmtId="0" fontId="8" fillId="0" borderId="0" xfId="0" applyFont="1" applyAlignment="1">
      <alignment vertical="top"/>
    </xf>
    <xf numFmtId="0" fontId="0" fillId="0" borderId="0" xfId="0"/>
    <xf numFmtId="0" fontId="49" fillId="3" borderId="1" xfId="0" applyFont="1" applyFill="1" applyBorder="1" applyAlignment="1">
      <alignment vertical="top" wrapText="1"/>
    </xf>
    <xf numFmtId="0" fontId="7" fillId="3" borderId="8" xfId="0" applyFont="1" applyFill="1" applyBorder="1" applyAlignment="1">
      <alignment horizontal="lef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54" fillId="2" borderId="0" xfId="0" applyNumberFormat="1" applyFont="1" applyFill="1" applyAlignment="1">
      <alignment horizontal="left" vertical="top"/>
    </xf>
    <xf numFmtId="14" fontId="47" fillId="2" borderId="0" xfId="0" applyNumberFormat="1" applyFont="1" applyFill="1" applyAlignment="1">
      <alignment horizontal="left" vertical="top"/>
    </xf>
    <xf numFmtId="0" fontId="5" fillId="10" borderId="1" xfId="0" applyFont="1" applyFill="1" applyBorder="1" applyAlignment="1">
      <alignment horizontal="right" vertical="top"/>
    </xf>
    <xf numFmtId="0" fontId="4" fillId="10" borderId="1" xfId="0" applyFont="1" applyFill="1" applyBorder="1" applyAlignment="1">
      <alignment horizontal="left" vertical="center" wrapText="1"/>
    </xf>
    <xf numFmtId="0" fontId="48" fillId="10" borderId="1" xfId="0" applyFont="1" applyFill="1" applyBorder="1" applyAlignment="1">
      <alignment horizontal="right"/>
    </xf>
    <xf numFmtId="0" fontId="4" fillId="10" borderId="1" xfId="0" applyFont="1" applyFill="1" applyBorder="1" applyAlignment="1">
      <alignment horizontal="left"/>
    </xf>
    <xf numFmtId="0" fontId="7" fillId="3" borderId="8" xfId="0" applyFont="1" applyFill="1" applyBorder="1" applyAlignment="1">
      <alignment vertical="top" wrapText="1"/>
    </xf>
    <xf numFmtId="14" fontId="19" fillId="2" borderId="0" xfId="0" applyNumberFormat="1" applyFont="1" applyFill="1" applyAlignment="1">
      <alignment horizontal="right" vertical="top"/>
    </xf>
    <xf numFmtId="0" fontId="3" fillId="3" borderId="8" xfId="0" applyFont="1" applyFill="1" applyBorder="1" applyAlignment="1">
      <alignment horizontal="left" vertical="top" wrapText="1"/>
    </xf>
    <xf numFmtId="0" fontId="48" fillId="7" borderId="1" xfId="0" applyFont="1" applyFill="1" applyBorder="1" applyAlignment="1">
      <alignment horizontal="right"/>
    </xf>
    <xf numFmtId="0" fontId="4" fillId="7" borderId="1" xfId="0" applyFont="1" applyFill="1" applyBorder="1" applyAlignment="1">
      <alignment horizontal="left"/>
    </xf>
    <xf numFmtId="0" fontId="49" fillId="3" borderId="8" xfId="0" applyFont="1" applyFill="1" applyBorder="1" applyAlignment="1">
      <alignment vertical="top" wrapText="1"/>
    </xf>
    <xf numFmtId="0" fontId="34" fillId="6" borderId="1" xfId="0" applyFont="1" applyFill="1" applyBorder="1" applyAlignment="1">
      <alignment horizontal="center"/>
    </xf>
    <xf numFmtId="0" fontId="37" fillId="2" borderId="0" xfId="0" applyFont="1" applyFill="1" applyAlignment="1">
      <alignment horizontal="center"/>
    </xf>
    <xf numFmtId="0" fontId="1" fillId="2" borderId="0" xfId="0" applyFont="1" applyFill="1" applyAlignment="1">
      <alignment horizontal="center"/>
    </xf>
    <xf numFmtId="0" fontId="1" fillId="2" borderId="0" xfId="0" applyFont="1" applyFill="1" applyAlignment="1">
      <alignment horizontal="left"/>
    </xf>
    <xf numFmtId="0" fontId="25" fillId="7" borderId="1" xfId="0" applyFont="1" applyFill="1" applyBorder="1" applyAlignment="1">
      <alignment horizontal="center"/>
    </xf>
    <xf numFmtId="0" fontId="13" fillId="7" borderId="1" xfId="0" applyFont="1" applyFill="1" applyBorder="1" applyAlignment="1">
      <alignment horizontal="center"/>
    </xf>
    <xf numFmtId="0" fontId="25" fillId="6" borderId="1" xfId="0" applyFont="1" applyFill="1" applyBorder="1" applyAlignment="1">
      <alignment horizontal="center"/>
    </xf>
    <xf numFmtId="0" fontId="13" fillId="6" borderId="1" xfId="0" applyFont="1" applyFill="1" applyBorder="1" applyAlignment="1">
      <alignment horizontal="center"/>
    </xf>
    <xf numFmtId="0" fontId="25" fillId="6" borderId="8" xfId="0" applyFont="1" applyFill="1" applyBorder="1" applyAlignment="1">
      <alignment horizontal="center"/>
    </xf>
    <xf numFmtId="0" fontId="13" fillId="6" borderId="8" xfId="0" applyFont="1" applyFill="1" applyBorder="1" applyAlignment="1">
      <alignment horizontal="center"/>
    </xf>
    <xf numFmtId="0" fontId="25" fillId="7" borderId="8" xfId="0" applyFont="1" applyFill="1" applyBorder="1" applyAlignment="1">
      <alignment horizontal="center"/>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14" fontId="19" fillId="2" borderId="0" xfId="0" applyNumberFormat="1" applyFont="1" applyFill="1" applyAlignment="1">
      <alignment horizontal="right"/>
    </xf>
    <xf numFmtId="14" fontId="47" fillId="2" borderId="0" xfId="0" applyNumberFormat="1" applyFont="1" applyFill="1" applyAlignment="1">
      <alignment horizontal="left"/>
    </xf>
    <xf numFmtId="0" fontId="4" fillId="10" borderId="1" xfId="0" applyFont="1" applyFill="1" applyBorder="1" applyAlignment="1">
      <alignment horizontal="center" vertical="top" wrapText="1"/>
    </xf>
    <xf numFmtId="0" fontId="48" fillId="10" borderId="1" xfId="0" applyFont="1" applyFill="1" applyBorder="1" applyAlignment="1">
      <alignment horizontal="right" vertical="top"/>
    </xf>
    <xf numFmtId="0" fontId="4" fillId="10" borderId="2" xfId="0" applyFont="1" applyFill="1" applyBorder="1" applyAlignment="1">
      <alignment horizontal="center" vertical="top"/>
    </xf>
    <xf numFmtId="0" fontId="3" fillId="3" borderId="8" xfId="0" applyFont="1" applyFill="1" applyBorder="1" applyAlignment="1">
      <alignment horizontal="center" vertical="top"/>
    </xf>
    <xf numFmtId="0" fontId="48" fillId="7" borderId="1" xfId="0" applyFont="1" applyFill="1" applyBorder="1" applyAlignment="1">
      <alignment horizontal="right" vertical="top"/>
    </xf>
    <xf numFmtId="0" fontId="4" fillId="7" borderId="2" xfId="0" applyFont="1" applyFill="1" applyBorder="1" applyAlignment="1">
      <alignment horizontal="center" vertical="top"/>
    </xf>
    <xf numFmtId="0" fontId="4" fillId="7" borderId="1" xfId="0" applyFont="1" applyFill="1" applyBorder="1" applyAlignment="1">
      <alignment horizontal="center" vertical="center" wrapText="1"/>
    </xf>
    <xf numFmtId="0" fontId="4" fillId="7" borderId="2" xfId="0" applyFont="1" applyFill="1" applyBorder="1" applyAlignment="1">
      <alignment horizontal="center"/>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xf>
    <xf numFmtId="0" fontId="4" fillId="7" borderId="1" xfId="0" applyFont="1" applyFill="1" applyBorder="1" applyAlignment="1">
      <alignment horizontal="center" vertical="top" wrapText="1"/>
    </xf>
    <xf numFmtId="0" fontId="58" fillId="7" borderId="1" xfId="0" applyFont="1" applyFill="1" applyBorder="1" applyAlignment="1">
      <alignment horizontal="center"/>
    </xf>
    <xf numFmtId="0" fontId="59" fillId="6" borderId="1" xfId="0" applyFont="1" applyFill="1" applyBorder="1" applyAlignment="1">
      <alignment horizontal="center"/>
    </xf>
    <xf numFmtId="0" fontId="61" fillId="6" borderId="8" xfId="0" applyFont="1" applyFill="1" applyBorder="1" applyAlignment="1">
      <alignment horizontal="center"/>
    </xf>
    <xf numFmtId="0" fontId="60" fillId="7" borderId="8" xfId="0" applyFont="1" applyFill="1" applyBorder="1" applyAlignment="1">
      <alignment horizontal="center"/>
    </xf>
    <xf numFmtId="0" fontId="6" fillId="0" borderId="2" xfId="0" applyFont="1" applyBorder="1" applyAlignment="1">
      <alignment horizontal="center" vertical="top"/>
    </xf>
    <xf numFmtId="0" fontId="8" fillId="3" borderId="2" xfId="0" applyFont="1" applyFill="1" applyBorder="1" applyAlignment="1">
      <alignment vertical="top"/>
    </xf>
    <xf numFmtId="0" fontId="8" fillId="3" borderId="3" xfId="0" applyFont="1" applyFill="1" applyBorder="1" applyAlignment="1">
      <alignment vertical="top"/>
    </xf>
    <xf numFmtId="0" fontId="8" fillId="0" borderId="2" xfId="0" applyFont="1" applyBorder="1" applyAlignment="1">
      <alignment vertical="top"/>
    </xf>
    <xf numFmtId="0" fontId="49" fillId="3" borderId="2" xfId="0" applyFont="1" applyFill="1" applyBorder="1" applyAlignment="1">
      <alignment vertical="top" wrapText="1"/>
    </xf>
    <xf numFmtId="0" fontId="49" fillId="3" borderId="3" xfId="0" applyFont="1" applyFill="1" applyBorder="1" applyAlignment="1">
      <alignment vertical="top" wrapText="1"/>
    </xf>
    <xf numFmtId="0" fontId="7" fillId="3" borderId="10" xfId="0" applyFont="1" applyFill="1" applyBorder="1" applyAlignment="1">
      <alignment vertical="top" wrapText="1"/>
    </xf>
    <xf numFmtId="0" fontId="7" fillId="3" borderId="9" xfId="0" applyFont="1" applyFill="1" applyBorder="1" applyAlignment="1">
      <alignment vertical="top" wrapText="1"/>
    </xf>
    <xf numFmtId="0" fontId="7" fillId="3" borderId="14" xfId="0" applyFont="1" applyFill="1" applyBorder="1" applyAlignment="1">
      <alignment vertical="top" wrapText="1"/>
    </xf>
    <xf numFmtId="0" fontId="7" fillId="3" borderId="0" xfId="0" applyFont="1" applyFill="1" applyAlignment="1">
      <alignment vertical="top" wrapText="1"/>
    </xf>
    <xf numFmtId="0" fontId="7" fillId="3" borderId="11" xfId="0" applyFont="1" applyFill="1" applyBorder="1" applyAlignment="1">
      <alignment vertical="top" wrapText="1"/>
    </xf>
    <xf numFmtId="0" fontId="7" fillId="3" borderId="13" xfId="0" applyFont="1" applyFill="1" applyBorder="1" applyAlignment="1">
      <alignment vertical="top" wrapText="1"/>
    </xf>
    <xf numFmtId="0" fontId="7" fillId="3" borderId="6" xfId="0" applyFont="1" applyFill="1" applyBorder="1" applyAlignment="1">
      <alignment vertical="top" wrapText="1"/>
    </xf>
    <xf numFmtId="0" fontId="7" fillId="3" borderId="12" xfId="0" applyFont="1" applyFill="1" applyBorder="1" applyAlignment="1">
      <alignment vertical="top" wrapText="1"/>
    </xf>
    <xf numFmtId="0" fontId="5" fillId="10" borderId="3" xfId="0" applyFont="1" applyFill="1" applyBorder="1" applyAlignment="1">
      <alignment horizontal="right" vertical="top"/>
    </xf>
    <xf numFmtId="0" fontId="4" fillId="10" borderId="2" xfId="0" applyFont="1" applyFill="1" applyBorder="1" applyAlignment="1">
      <alignment horizontal="center" vertical="top" wrapText="1"/>
    </xf>
    <xf numFmtId="0" fontId="4" fillId="10" borderId="3" xfId="0" applyFont="1" applyFill="1" applyBorder="1" applyAlignment="1">
      <alignment horizontal="center" vertical="top" wrapText="1"/>
    </xf>
    <xf numFmtId="0" fontId="48" fillId="10" borderId="3" xfId="0" applyFont="1" applyFill="1" applyBorder="1" applyAlignment="1">
      <alignment horizontal="right" vertical="top"/>
    </xf>
    <xf numFmtId="0" fontId="4" fillId="10" borderId="1" xfId="0" applyFont="1" applyFill="1" applyBorder="1" applyAlignment="1">
      <alignment horizontal="center" vertical="top"/>
    </xf>
    <xf numFmtId="0" fontId="4" fillId="10" borderId="3" xfId="0" applyFont="1" applyFill="1" applyBorder="1" applyAlignment="1">
      <alignment horizontal="center" vertical="top"/>
    </xf>
    <xf numFmtId="0" fontId="6" fillId="0" borderId="3" xfId="0" applyFont="1" applyBorder="1" applyAlignment="1">
      <alignment horizontal="center" vertical="top"/>
    </xf>
    <xf numFmtId="0" fontId="3" fillId="3" borderId="10"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14" xfId="0" applyFont="1" applyFill="1" applyBorder="1" applyAlignment="1">
      <alignment horizontal="left" vertical="top" wrapText="1"/>
    </xf>
    <xf numFmtId="0" fontId="3" fillId="3" borderId="0" xfId="0" applyFont="1" applyFill="1" applyAlignment="1">
      <alignment horizontal="left" vertical="top" wrapText="1"/>
    </xf>
    <xf numFmtId="0" fontId="3" fillId="3" borderId="11" xfId="0" applyFont="1" applyFill="1" applyBorder="1" applyAlignment="1">
      <alignment horizontal="left" vertical="top" wrapText="1"/>
    </xf>
    <xf numFmtId="0" fontId="3" fillId="3" borderId="13" xfId="0" applyFont="1" applyFill="1" applyBorder="1" applyAlignment="1">
      <alignment horizontal="left" vertical="top" wrapText="1"/>
    </xf>
    <xf numFmtId="0" fontId="3" fillId="3" borderId="6" xfId="0" applyFont="1" applyFill="1" applyBorder="1" applyAlignment="1">
      <alignment horizontal="left" vertical="top" wrapText="1"/>
    </xf>
    <xf numFmtId="0" fontId="3" fillId="3" borderId="12" xfId="0" applyFont="1" applyFill="1" applyBorder="1" applyAlignment="1">
      <alignment horizontal="left" vertical="top" wrapText="1"/>
    </xf>
    <xf numFmtId="0" fontId="48" fillId="7" borderId="3" xfId="0" applyFont="1" applyFill="1" applyBorder="1" applyAlignment="1">
      <alignment horizontal="right" vertical="top"/>
    </xf>
    <xf numFmtId="0" fontId="4" fillId="7" borderId="1" xfId="0" applyFont="1" applyFill="1" applyBorder="1" applyAlignment="1">
      <alignment horizontal="center" vertical="top"/>
    </xf>
    <xf numFmtId="0" fontId="4" fillId="7" borderId="3" xfId="0" applyFont="1" applyFill="1" applyBorder="1" applyAlignment="1">
      <alignment horizontal="center" vertical="top"/>
    </xf>
    <xf numFmtId="0" fontId="49" fillId="3" borderId="10" xfId="0" applyFont="1" applyFill="1" applyBorder="1" applyAlignment="1">
      <alignment vertical="top" wrapText="1"/>
    </xf>
    <xf numFmtId="0" fontId="49" fillId="3" borderId="9" xfId="0" applyFont="1" applyFill="1" applyBorder="1" applyAlignment="1">
      <alignment vertical="top" wrapText="1"/>
    </xf>
    <xf numFmtId="0" fontId="49" fillId="3" borderId="13" xfId="0" applyFont="1" applyFill="1" applyBorder="1" applyAlignment="1">
      <alignment vertical="top" wrapText="1"/>
    </xf>
    <xf numFmtId="0" fontId="49" fillId="3" borderId="6" xfId="0" applyFont="1" applyFill="1" applyBorder="1" applyAlignment="1">
      <alignment vertical="top" wrapText="1"/>
    </xf>
    <xf numFmtId="0" fontId="49" fillId="3" borderId="12" xfId="0" applyFont="1" applyFill="1" applyBorder="1" applyAlignment="1">
      <alignment vertical="top" wrapText="1"/>
    </xf>
    <xf numFmtId="0" fontId="34" fillId="6" borderId="2" xfId="0" applyFont="1" applyFill="1" applyBorder="1" applyAlignment="1">
      <alignment horizontal="center"/>
    </xf>
    <xf numFmtId="0" fontId="58" fillId="7" borderId="3" xfId="0" applyFont="1" applyFill="1" applyBorder="1" applyAlignment="1">
      <alignment horizontal="center"/>
    </xf>
    <xf numFmtId="0" fontId="13" fillId="7" borderId="2" xfId="0" applyFont="1" applyFill="1" applyBorder="1" applyAlignment="1">
      <alignment horizontal="center"/>
    </xf>
    <xf numFmtId="0" fontId="13" fillId="7" borderId="3" xfId="0" applyFont="1" applyFill="1" applyBorder="1" applyAlignment="1">
      <alignment horizontal="center"/>
    </xf>
    <xf numFmtId="0" fontId="1" fillId="2" borderId="2" xfId="0" applyFont="1" applyFill="1" applyBorder="1" applyAlignment="1">
      <alignment horizontal="center"/>
    </xf>
    <xf numFmtId="0" fontId="59" fillId="6" borderId="3" xfId="0" applyFont="1" applyFill="1" applyBorder="1" applyAlignment="1">
      <alignment horizontal="center"/>
    </xf>
    <xf numFmtId="0" fontId="13" fillId="6" borderId="2" xfId="0" applyFont="1" applyFill="1" applyBorder="1" applyAlignment="1">
      <alignment horizontal="center"/>
    </xf>
    <xf numFmtId="0" fontId="13" fillId="6" borderId="3" xfId="0" applyFont="1" applyFill="1" applyBorder="1" applyAlignment="1">
      <alignment horizontal="center"/>
    </xf>
    <xf numFmtId="0" fontId="61" fillId="6" borderId="9" xfId="0" applyFont="1" applyFill="1" applyBorder="1" applyAlignment="1">
      <alignment horizontal="center"/>
    </xf>
    <xf numFmtId="0" fontId="13" fillId="6" borderId="10" xfId="0" applyFont="1" applyFill="1" applyBorder="1" applyAlignment="1">
      <alignment horizontal="center"/>
    </xf>
    <xf numFmtId="0" fontId="13" fillId="6" borderId="9" xfId="0" applyFont="1" applyFill="1" applyBorder="1" applyAlignment="1">
      <alignment horizontal="center"/>
    </xf>
    <xf numFmtId="0" fontId="60" fillId="7" borderId="9" xfId="0" applyFont="1" applyFill="1" applyBorder="1" applyAlignment="1">
      <alignment horizontal="center"/>
    </xf>
    <xf numFmtId="0" fontId="5" fillId="7" borderId="3" xfId="0" applyFont="1" applyFill="1" applyBorder="1" applyAlignment="1">
      <alignment horizontal="right" vertical="top"/>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1" xfId="0" applyFont="1" applyFill="1" applyBorder="1" applyAlignment="1">
      <alignment horizontal="center"/>
    </xf>
    <xf numFmtId="0" fontId="4" fillId="7" borderId="3" xfId="0" applyFont="1" applyFill="1" applyBorder="1" applyAlignment="1">
      <alignment horizontal="center"/>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8" fillId="10" borderId="3" xfId="0" applyFont="1" applyFill="1" applyBorder="1" applyAlignment="1">
      <alignment horizontal="right"/>
    </xf>
    <xf numFmtId="0" fontId="4" fillId="10" borderId="1" xfId="0" applyFont="1" applyFill="1" applyBorder="1" applyAlignment="1">
      <alignment horizontal="center"/>
    </xf>
    <xf numFmtId="0" fontId="4" fillId="10" borderId="3" xfId="0" applyFont="1" applyFill="1" applyBorder="1" applyAlignment="1">
      <alignment horizontal="center"/>
    </xf>
    <xf numFmtId="0" fontId="48" fillId="7" borderId="3" xfId="0" applyFont="1" applyFill="1" applyBorder="1" applyAlignment="1">
      <alignment horizontal="right"/>
    </xf>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0" fontId="5" fillId="7" borderId="1" xfId="0" applyFont="1" applyFill="1" applyBorder="1" applyAlignment="1">
      <alignment horizontal="right" vertical="center"/>
    </xf>
    <xf numFmtId="0" fontId="5" fillId="10" borderId="1" xfId="0" applyFont="1" applyFill="1" applyBorder="1" applyAlignment="1">
      <alignment horizontal="right" vertical="center"/>
    </xf>
  </cellXfs>
  <cellStyles count="1">
    <cellStyle name="Normal" xfId="0" builtinId="0"/>
  </cellStyles>
  <dxfs count="3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b/>
        <color rgb="FFFFFFFF"/>
      </font>
      <fill>
        <patternFill patternType="solid">
          <fgColor rgb="FFFF0000"/>
          <bgColor rgb="FFFF0000"/>
        </patternFill>
      </fill>
    </dxf>
    <dxf>
      <font>
        <b/>
        <color rgb="FFFFFFFF"/>
      </font>
      <fill>
        <patternFill patternType="solid">
          <fgColor rgb="FFFF0000"/>
          <bgColor rgb="FFFF0000"/>
        </patternFill>
      </fill>
    </dxf>
    <dxf>
      <font>
        <color rgb="FFFFFFFF"/>
      </font>
      <fill>
        <patternFill patternType="solid">
          <fgColor rgb="FFE69138"/>
          <bgColor rgb="FFE69138"/>
        </patternFill>
      </fill>
    </dxf>
    <dxf>
      <font>
        <color rgb="FFFFFFFF"/>
      </font>
      <fill>
        <patternFill patternType="solid">
          <fgColor rgb="FF3C78D8"/>
          <bgColor rgb="FF3C78D8"/>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ont>
        <b/>
        <color rgb="FFFFFF00"/>
      </font>
      <fill>
        <patternFill patternType="solid">
          <bgColor rgb="FF0BA8DC"/>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38"/>
      <tableStyleElement type="firstRowStripe" dxfId="37"/>
      <tableStyleElement type="secondRowStripe" dxfId="36"/>
    </tableStyle>
    <tableStyle name="Lookup-TOC-style 2" pivot="0" count="3" xr9:uid="{00000000-0011-0000-FFFF-FFFF01000000}">
      <tableStyleElement type="headerRow" dxfId="35"/>
      <tableStyleElement type="firstRowStripe" dxfId="34"/>
      <tableStyleElement type="secondRowStripe" dxfId="33"/>
    </tableStyle>
    <tableStyle name="Lookup-DiverRoster-style" pivot="0" count="3" xr9:uid="{00000000-0011-0000-FFFF-FFFF02000000}">
      <tableStyleElement type="headerRow" dxfId="32"/>
      <tableStyleElement type="firstRowStripe" dxfId="31"/>
      <tableStyleElement type="secondRowStripe" dxfId="30"/>
    </tableStyle>
    <tableStyle name="Lookup-DiverRoster-style 2" pivot="0" count="3" xr9:uid="{00000000-0011-0000-FFFF-FFFF03000000}">
      <tableStyleElement type="headerRow" dxfId="29"/>
      <tableStyleElement type="firstRowStripe" dxfId="28"/>
      <tableStyleElement type="secondRowStripe" dxfId="27"/>
    </tableStyle>
    <tableStyle name="Lookup-DiverRoster-style 3" pivot="0" count="3" xr9:uid="{00000000-0011-0000-FFFF-FFFF04000000}">
      <tableStyleElement type="headerRow" dxfId="26"/>
      <tableStyleElement type="firstRowStripe" dxfId="25"/>
      <tableStyleElement type="secondRowStripe" dxfId="24"/>
    </tableStyle>
  </tableStyles>
  <colors>
    <mruColors>
      <color rgb="FF0BA8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2" displayName="Table_2" ref="F3:F11">
  <tableColumns count="1">
    <tableColumn id="1" xr3:uid="{00000000-0010-0000-0000-000001000000}" name="File LInk (get shareable link and paste here) - this should automatically be populated via the &quot;DuplicateMeetSheets&quot; action performed on the AdminDashboard"/>
  </tableColumns>
  <tableStyleInfo name="Lookup-TOC-style 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4_x000a_ DiverTeam: _x000a_2204 Entries"/>
    <tableColumn id="2" xr3:uid="{00000000-0010-0000-0100-000002000000}" name="!2024_x000a_ DiverName: _x000a_2204 Entries"/>
    <tableColumn id="3" xr3:uid="{00000000-0010-0000-0100-000003000000}" name="!2024_x000a_ DiverAgeOn61: _x000a_2203 Entries"/>
    <tableColumn id="4" xr3:uid="{00000000-0010-0000-0100-000004000000}" name="!2024_x000a_ DiverGender: _x000a_2203 Entries_x000a_G:1267 B:936"/>
  </tableColumns>
  <tableStyleInfo name="Lookup-DiverRoster-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103 J:525 I:312 S:263"/>
    <tableColumn id="2" xr3:uid="{00000000-0010-0000-0200-000002000000}" name="Calculated DiveUpEvent"/>
    <tableColumn id="3" xr3:uid="{00000000-0010-0000-0200-000003000000}" name="Division Lookup"/>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17" Type="http://schemas.openxmlformats.org/officeDocument/2006/relationships/printerSettings" Target="../printerSettings/printerSettings1.bin"/><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_rels/sheet1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docs.google.com/spreadsheets/d/1CX2VLSg37uKjrzsrYdZD6crUz0KJKAHUi_ItIxOb7N8/edit?usp=drive_link" TargetMode="External"/></Relationships>
</file>

<file path=xl/worksheets/_rels/sheet11.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9900"/>
    <outlinePr summaryBelow="0" summaryRight="0"/>
  </sheetPr>
  <dimension ref="A1:AL35"/>
  <sheetViews>
    <sheetView tabSelected="1" workbookViewId="0">
      <pane ySplit="3" topLeftCell="A4" activePane="bottomLeft" state="frozen"/>
      <selection pane="bottomLeft" activeCell="C3" sqref="C3"/>
    </sheetView>
  </sheetViews>
  <sheetFormatPr defaultColWidth="12.6640625" defaultRowHeight="15.75" customHeight="1" outlineLevelCol="1" x14ac:dyDescent="0.25"/>
  <cols>
    <col min="1" max="1" width="1.44140625" customWidth="1"/>
    <col min="2" max="2" width="3.44140625" customWidth="1"/>
    <col min="3" max="3" width="19" customWidth="1"/>
    <col min="4" max="4" width="9" customWidth="1"/>
    <col min="5" max="7" width="2.21875"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lapsed="1"/>
    <col min="24" max="24" width="2.44140625" hidden="1" customWidth="1" outlineLevel="1"/>
    <col min="25" max="25" width="7.109375" hidden="1" customWidth="1" outlineLevel="1"/>
    <col min="26" max="26" width="11.21875" hidden="1" customWidth="1" outlineLevel="1"/>
    <col min="27" max="33" width="5.109375" hidden="1" customWidth="1" outlineLevel="1"/>
    <col min="34" max="34" width="4" hidden="1" customWidth="1" outlineLevel="1"/>
    <col min="35" max="35" width="5.44140625" hidden="1" customWidth="1" outlineLevel="1"/>
    <col min="36" max="36" width="14.33203125" hidden="1" customWidth="1" outlineLevel="1"/>
    <col min="37" max="37" width="10.33203125" hidden="1" customWidth="1" outlineLevel="1"/>
    <col min="38" max="38" width="9.44140625" hidden="1" customWidth="1" outlineLevel="1"/>
  </cols>
  <sheetData>
    <row r="1" spans="1:38" ht="13.2" x14ac:dyDescent="0.25">
      <c r="A1" s="2"/>
      <c r="B1" s="2"/>
      <c r="C1" s="2" t="s">
        <v>29</v>
      </c>
      <c r="D1" s="2"/>
      <c r="E1" s="2"/>
      <c r="F1" s="2"/>
      <c r="G1" s="2"/>
      <c r="H1" s="2"/>
      <c r="I1" s="2"/>
      <c r="J1" s="2"/>
      <c r="K1" s="2"/>
      <c r="L1" s="2"/>
      <c r="M1" s="2"/>
      <c r="N1" s="2"/>
      <c r="O1" s="2"/>
      <c r="P1" s="2"/>
      <c r="Q1" s="2"/>
      <c r="R1" s="2"/>
      <c r="S1" s="2"/>
      <c r="T1" s="2"/>
      <c r="W1" s="2"/>
      <c r="X1" s="3"/>
      <c r="Y1" s="4"/>
      <c r="Z1" s="4"/>
      <c r="AA1" s="215"/>
      <c r="AB1" s="215"/>
      <c r="AC1" s="215"/>
      <c r="AD1" s="215"/>
      <c r="AE1" s="215"/>
      <c r="AF1" s="215"/>
      <c r="AG1" s="215"/>
      <c r="AH1" s="4"/>
      <c r="AI1" s="4"/>
      <c r="AJ1" s="4"/>
      <c r="AK1" s="4"/>
      <c r="AL1" s="4"/>
    </row>
    <row r="2" spans="1:38" ht="17.399999999999999" x14ac:dyDescent="0.3">
      <c r="A2" s="5"/>
      <c r="B2" s="6"/>
      <c r="C2" s="7">
        <v>45461</v>
      </c>
      <c r="D2" s="8"/>
      <c r="E2" s="9" t="s">
        <v>858</v>
      </c>
      <c r="F2" s="9"/>
      <c r="G2" s="8"/>
      <c r="H2" s="10"/>
      <c r="I2" s="10"/>
      <c r="J2" s="10"/>
      <c r="K2" s="10"/>
      <c r="L2" s="10"/>
      <c r="M2" s="10"/>
      <c r="N2" s="10"/>
      <c r="O2" s="10"/>
      <c r="P2" s="11"/>
      <c r="Q2" s="11"/>
      <c r="R2" s="11"/>
      <c r="S2" s="11"/>
      <c r="T2" s="12"/>
      <c r="U2" s="1"/>
      <c r="V2" s="1"/>
      <c r="W2" s="12"/>
      <c r="X2" s="13"/>
      <c r="Y2" s="14"/>
      <c r="Z2" s="14"/>
      <c r="AA2" s="15" t="s">
        <v>0</v>
      </c>
      <c r="AB2" s="15">
        <v>1</v>
      </c>
      <c r="AC2" s="15">
        <v>1</v>
      </c>
      <c r="AD2" s="15">
        <v>2</v>
      </c>
      <c r="AE2" s="15">
        <v>2</v>
      </c>
      <c r="AF2" s="15">
        <v>3</v>
      </c>
      <c r="AG2" s="15">
        <v>3</v>
      </c>
      <c r="AH2" s="15"/>
      <c r="AI2" s="15"/>
      <c r="AJ2" s="15"/>
      <c r="AK2" s="15"/>
      <c r="AL2" s="15"/>
    </row>
    <row r="3" spans="1:38" ht="17.399999999999999" x14ac:dyDescent="0.3">
      <c r="A3" s="216" t="s">
        <v>1</v>
      </c>
      <c r="B3" s="216"/>
      <c r="C3" s="17" t="s">
        <v>859</v>
      </c>
      <c r="D3" s="9"/>
      <c r="E3" s="217" t="s">
        <v>2</v>
      </c>
      <c r="F3" s="217"/>
      <c r="G3" s="217"/>
      <c r="H3" s="18" t="e">
        <v>#VALUE!</v>
      </c>
      <c r="I3" s="19"/>
      <c r="J3" s="19"/>
      <c r="K3" s="19"/>
      <c r="L3" s="8"/>
      <c r="M3" s="8"/>
      <c r="N3" s="8"/>
      <c r="O3" s="17" t="s">
        <v>860</v>
      </c>
      <c r="P3" s="9"/>
      <c r="Q3" s="217" t="s">
        <v>2</v>
      </c>
      <c r="R3" s="217"/>
      <c r="S3" s="217"/>
      <c r="T3" s="18" t="e">
        <v>#VALUE!</v>
      </c>
      <c r="U3" s="1" t="s">
        <v>3</v>
      </c>
      <c r="V3" s="1" t="s">
        <v>4</v>
      </c>
      <c r="W3" s="8"/>
      <c r="X3" s="20"/>
      <c r="Y3" s="21"/>
      <c r="Z3" s="21"/>
      <c r="AA3" s="15" t="s">
        <v>5</v>
      </c>
      <c r="AB3" s="15" t="s">
        <v>6</v>
      </c>
      <c r="AC3" s="15" t="s">
        <v>7</v>
      </c>
      <c r="AD3" s="15" t="s">
        <v>6</v>
      </c>
      <c r="AE3" s="15" t="s">
        <v>7</v>
      </c>
      <c r="AF3" s="15" t="s">
        <v>6</v>
      </c>
      <c r="AG3" s="15" t="s">
        <v>7</v>
      </c>
      <c r="AH3" s="15"/>
      <c r="AI3" s="15" t="s">
        <v>0</v>
      </c>
      <c r="AJ3" s="15" t="s">
        <v>8</v>
      </c>
      <c r="AK3" s="15" t="s">
        <v>9</v>
      </c>
      <c r="AL3" s="15" t="s">
        <v>10</v>
      </c>
    </row>
    <row r="4" spans="1:38" ht="15.6" customHeight="1" x14ac:dyDescent="0.25">
      <c r="A4" s="209">
        <v>1</v>
      </c>
      <c r="B4" s="210"/>
      <c r="C4" s="211" t="s">
        <v>861</v>
      </c>
      <c r="D4" s="212"/>
      <c r="E4" s="205">
        <v>34</v>
      </c>
      <c r="F4" s="206"/>
      <c r="G4" s="206"/>
      <c r="H4" s="207">
        <v>0</v>
      </c>
      <c r="I4" s="207"/>
      <c r="J4" s="207"/>
      <c r="K4" s="23" t="s">
        <v>11</v>
      </c>
      <c r="L4" s="8"/>
      <c r="M4" s="24" t="s">
        <v>29</v>
      </c>
      <c r="N4" s="24" t="s">
        <v>29</v>
      </c>
      <c r="O4" s="202" t="s">
        <v>862</v>
      </c>
      <c r="P4" s="203"/>
      <c r="Q4" s="198">
        <v>38</v>
      </c>
      <c r="R4" s="199"/>
      <c r="S4" s="200"/>
      <c r="T4" s="22">
        <v>0</v>
      </c>
      <c r="U4" s="25" t="s">
        <v>863</v>
      </c>
      <c r="V4" s="26"/>
      <c r="W4" s="27"/>
      <c r="X4" s="28"/>
      <c r="Y4" s="29"/>
      <c r="Z4" s="29"/>
      <c r="AA4" s="30"/>
      <c r="AB4" s="30"/>
      <c r="AC4" s="30"/>
      <c r="AD4" s="30"/>
      <c r="AE4" s="30"/>
      <c r="AF4" s="30"/>
      <c r="AG4" s="30"/>
      <c r="AH4" s="30"/>
      <c r="AI4" s="30"/>
      <c r="AJ4" s="30"/>
      <c r="AK4" s="30"/>
      <c r="AL4" s="30"/>
    </row>
    <row r="5" spans="1:38" ht="15.6" x14ac:dyDescent="0.25">
      <c r="A5" s="209"/>
      <c r="B5" s="210"/>
      <c r="C5" s="211" t="s">
        <v>864</v>
      </c>
      <c r="D5" s="212"/>
      <c r="E5" s="205">
        <v>23</v>
      </c>
      <c r="F5" s="206"/>
      <c r="G5" s="206"/>
      <c r="H5" s="207">
        <v>0</v>
      </c>
      <c r="I5" s="207"/>
      <c r="J5" s="207"/>
      <c r="K5" s="23" t="s">
        <v>11</v>
      </c>
      <c r="L5" s="31"/>
      <c r="M5" s="24"/>
      <c r="N5" s="24"/>
      <c r="O5" s="202" t="s">
        <v>865</v>
      </c>
      <c r="P5" s="203"/>
      <c r="Q5" s="198">
        <v>49</v>
      </c>
      <c r="R5" s="199"/>
      <c r="S5" s="200"/>
      <c r="T5" s="22">
        <v>0</v>
      </c>
      <c r="U5" s="32" t="s">
        <v>863</v>
      </c>
      <c r="V5" s="26"/>
      <c r="W5" s="33"/>
      <c r="X5" s="34"/>
      <c r="Y5" s="29"/>
      <c r="Z5" s="29"/>
      <c r="AA5" s="30"/>
      <c r="AB5" s="30"/>
      <c r="AC5" s="30"/>
      <c r="AD5" s="30"/>
      <c r="AE5" s="30"/>
      <c r="AF5" s="30"/>
      <c r="AG5" s="30"/>
      <c r="AH5" s="30"/>
      <c r="AI5" s="30"/>
      <c r="AJ5" s="30"/>
      <c r="AK5" s="30"/>
      <c r="AL5" s="30"/>
    </row>
    <row r="6" spans="1:38" ht="15.6" x14ac:dyDescent="0.25">
      <c r="A6" s="209"/>
      <c r="B6" s="210"/>
      <c r="C6" s="211" t="s">
        <v>866</v>
      </c>
      <c r="D6" s="212"/>
      <c r="E6" s="205">
        <v>44</v>
      </c>
      <c r="F6" s="206"/>
      <c r="G6" s="206"/>
      <c r="H6" s="207">
        <v>0</v>
      </c>
      <c r="I6" s="207"/>
      <c r="J6" s="207"/>
      <c r="K6" s="23" t="s">
        <v>11</v>
      </c>
      <c r="L6" s="31"/>
      <c r="M6" s="24"/>
      <c r="N6" s="24"/>
      <c r="O6" s="202" t="s">
        <v>867</v>
      </c>
      <c r="P6" s="203"/>
      <c r="Q6" s="198">
        <v>28</v>
      </c>
      <c r="R6" s="199"/>
      <c r="S6" s="200"/>
      <c r="T6" s="22">
        <v>0</v>
      </c>
      <c r="U6" s="35" t="s">
        <v>863</v>
      </c>
      <c r="V6" s="26"/>
      <c r="W6" s="33"/>
      <c r="X6" s="34"/>
      <c r="Y6" s="29"/>
      <c r="Z6" s="29"/>
      <c r="AA6" s="30"/>
      <c r="AB6" s="30"/>
      <c r="AC6" s="30"/>
      <c r="AD6" s="30"/>
      <c r="AE6" s="30"/>
      <c r="AF6" s="30"/>
      <c r="AG6" s="30"/>
      <c r="AH6" s="30"/>
      <c r="AI6" s="30"/>
      <c r="AJ6" s="30"/>
      <c r="AK6" s="30"/>
      <c r="AL6" s="30"/>
    </row>
    <row r="7" spans="1:38" ht="7.5" customHeight="1" x14ac:dyDescent="0.25">
      <c r="A7" s="208"/>
      <c r="B7" s="208"/>
      <c r="C7" s="16"/>
      <c r="D7" s="36"/>
      <c r="E7" s="201"/>
      <c r="F7" s="201"/>
      <c r="G7" s="201"/>
      <c r="H7" s="38"/>
      <c r="I7" s="38"/>
      <c r="J7" s="38"/>
      <c r="K7" s="39"/>
      <c r="L7" s="8"/>
      <c r="M7" s="39"/>
      <c r="N7" s="39"/>
      <c r="O7" s="16"/>
      <c r="P7" s="36"/>
      <c r="Q7" s="201"/>
      <c r="R7" s="201"/>
      <c r="S7" s="201"/>
      <c r="T7" s="22"/>
      <c r="U7" s="40"/>
      <c r="V7" s="37"/>
      <c r="W7" s="27"/>
      <c r="X7" s="28"/>
      <c r="Y7" s="29"/>
      <c r="Z7" s="29"/>
      <c r="AA7" s="30"/>
      <c r="AB7" s="30"/>
      <c r="AC7" s="30"/>
      <c r="AD7" s="30"/>
      <c r="AE7" s="30"/>
      <c r="AF7" s="30"/>
      <c r="AG7" s="30"/>
      <c r="AH7" s="30"/>
      <c r="AI7" s="30"/>
      <c r="AJ7" s="30"/>
      <c r="AK7" s="30"/>
      <c r="AL7" s="30"/>
    </row>
    <row r="8" spans="1:38" ht="15.6" customHeight="1" x14ac:dyDescent="0.25">
      <c r="A8" s="209">
        <v>2</v>
      </c>
      <c r="B8" s="210"/>
      <c r="C8" s="211" t="s">
        <v>868</v>
      </c>
      <c r="D8" s="212"/>
      <c r="E8" s="205">
        <v>33</v>
      </c>
      <c r="F8" s="206"/>
      <c r="G8" s="206"/>
      <c r="H8" s="207" t="e">
        <v>#VALUE!</v>
      </c>
      <c r="I8" s="207"/>
      <c r="J8" s="207"/>
      <c r="K8" s="23" t="s">
        <v>11</v>
      </c>
      <c r="L8" s="8"/>
      <c r="M8" s="24" t="s">
        <v>29</v>
      </c>
      <c r="N8" s="24" t="s">
        <v>29</v>
      </c>
      <c r="O8" s="202" t="s">
        <v>869</v>
      </c>
      <c r="P8" s="203"/>
      <c r="Q8" s="198">
        <v>39</v>
      </c>
      <c r="R8" s="199"/>
      <c r="S8" s="200"/>
      <c r="T8" s="22" t="e">
        <v>#VALUE!</v>
      </c>
      <c r="U8" s="25" t="s">
        <v>863</v>
      </c>
      <c r="V8" s="26"/>
      <c r="W8" s="27"/>
      <c r="X8" s="28"/>
      <c r="Y8" s="29"/>
      <c r="Z8" s="29"/>
      <c r="AA8" s="30"/>
      <c r="AB8" s="30"/>
      <c r="AC8" s="30"/>
      <c r="AD8" s="30"/>
      <c r="AE8" s="30"/>
      <c r="AF8" s="30"/>
      <c r="AG8" s="30"/>
      <c r="AH8" s="30"/>
      <c r="AI8" s="30"/>
      <c r="AJ8" s="30"/>
      <c r="AK8" s="30"/>
      <c r="AL8" s="30"/>
    </row>
    <row r="9" spans="1:38" ht="15.6" x14ac:dyDescent="0.25">
      <c r="A9" s="209"/>
      <c r="B9" s="210"/>
      <c r="C9" s="213" t="s">
        <v>870</v>
      </c>
      <c r="D9" s="214"/>
      <c r="E9" s="205">
        <v>48</v>
      </c>
      <c r="F9" s="206"/>
      <c r="G9" s="206"/>
      <c r="H9" s="207">
        <v>0</v>
      </c>
      <c r="I9" s="207"/>
      <c r="J9" s="207"/>
      <c r="K9" s="23" t="s">
        <v>11</v>
      </c>
      <c r="L9" s="31"/>
      <c r="M9" s="24"/>
      <c r="N9" s="24"/>
      <c r="O9" s="202" t="s">
        <v>871</v>
      </c>
      <c r="P9" s="203"/>
      <c r="Q9" s="198">
        <v>24</v>
      </c>
      <c r="R9" s="199"/>
      <c r="S9" s="200"/>
      <c r="T9" s="22">
        <v>0</v>
      </c>
      <c r="U9" s="32" t="s">
        <v>863</v>
      </c>
      <c r="V9" s="26"/>
      <c r="W9" s="33"/>
      <c r="X9" s="34"/>
      <c r="Y9" s="29"/>
      <c r="Z9" s="29"/>
      <c r="AA9" s="30"/>
      <c r="AB9" s="30"/>
      <c r="AC9" s="30"/>
      <c r="AD9" s="30"/>
      <c r="AE9" s="30"/>
      <c r="AF9" s="30"/>
      <c r="AG9" s="30"/>
      <c r="AH9" s="30"/>
      <c r="AI9" s="30"/>
      <c r="AJ9" s="30"/>
      <c r="AK9" s="30"/>
      <c r="AL9" s="30"/>
    </row>
    <row r="10" spans="1:38" ht="15.6" x14ac:dyDescent="0.25">
      <c r="A10" s="209"/>
      <c r="B10" s="210"/>
      <c r="C10" s="213" t="s">
        <v>872</v>
      </c>
      <c r="D10" s="214"/>
      <c r="E10" s="205">
        <v>43</v>
      </c>
      <c r="F10" s="206"/>
      <c r="G10" s="206"/>
      <c r="H10" s="207">
        <v>0</v>
      </c>
      <c r="I10" s="207"/>
      <c r="J10" s="207"/>
      <c r="K10" s="23" t="s">
        <v>11</v>
      </c>
      <c r="L10" s="31"/>
      <c r="M10" s="24"/>
      <c r="N10" s="24"/>
      <c r="O10" s="202" t="s">
        <v>873</v>
      </c>
      <c r="P10" s="203"/>
      <c r="Q10" s="198">
        <v>28</v>
      </c>
      <c r="R10" s="199"/>
      <c r="S10" s="200"/>
      <c r="T10" s="22">
        <v>0</v>
      </c>
      <c r="U10" s="35" t="s">
        <v>863</v>
      </c>
      <c r="V10" s="26"/>
      <c r="W10" s="33"/>
      <c r="X10" s="34"/>
      <c r="Y10" s="29"/>
      <c r="Z10" s="29"/>
      <c r="AA10" s="30"/>
      <c r="AB10" s="30"/>
      <c r="AC10" s="30"/>
      <c r="AD10" s="30"/>
      <c r="AE10" s="30"/>
      <c r="AF10" s="30"/>
      <c r="AG10" s="30"/>
      <c r="AH10" s="30"/>
      <c r="AI10" s="30"/>
      <c r="AJ10" s="30"/>
      <c r="AK10" s="30"/>
      <c r="AL10" s="30"/>
    </row>
    <row r="11" spans="1:38" ht="7.5" customHeight="1" x14ac:dyDescent="0.25">
      <c r="A11" s="208"/>
      <c r="B11" s="208"/>
      <c r="C11" s="16"/>
      <c r="D11" s="36"/>
      <c r="E11" s="201"/>
      <c r="F11" s="201"/>
      <c r="G11" s="201"/>
      <c r="H11" s="38"/>
      <c r="I11" s="38"/>
      <c r="J11" s="38"/>
      <c r="K11" s="39"/>
      <c r="L11" s="8"/>
      <c r="M11" s="39"/>
      <c r="N11" s="39"/>
      <c r="O11" s="16"/>
      <c r="P11" s="36"/>
      <c r="Q11" s="201"/>
      <c r="R11" s="201"/>
      <c r="S11" s="201"/>
      <c r="T11" s="22"/>
      <c r="U11" s="40"/>
      <c r="V11" s="37"/>
      <c r="W11" s="27"/>
      <c r="X11" s="28"/>
      <c r="Y11" s="29"/>
      <c r="Z11" s="29"/>
      <c r="AA11" s="30"/>
      <c r="AB11" s="30"/>
      <c r="AC11" s="30"/>
      <c r="AD11" s="30"/>
      <c r="AE11" s="30"/>
      <c r="AF11" s="30"/>
      <c r="AG11" s="30"/>
      <c r="AH11" s="30"/>
      <c r="AI11" s="30"/>
      <c r="AJ11" s="30"/>
      <c r="AK11" s="30"/>
      <c r="AL11" s="30"/>
    </row>
    <row r="12" spans="1:38" ht="15.6" customHeight="1" x14ac:dyDescent="0.25">
      <c r="A12" s="209">
        <v>3</v>
      </c>
      <c r="B12" s="210"/>
      <c r="C12" s="211" t="s">
        <v>874</v>
      </c>
      <c r="D12" s="212"/>
      <c r="E12" s="205">
        <v>35</v>
      </c>
      <c r="F12" s="206"/>
      <c r="G12" s="206"/>
      <c r="H12" s="207" t="e">
        <v>#VALUE!</v>
      </c>
      <c r="I12" s="207"/>
      <c r="J12" s="207"/>
      <c r="K12" s="23" t="s">
        <v>11</v>
      </c>
      <c r="L12" s="8"/>
      <c r="M12" s="24" t="s">
        <v>29</v>
      </c>
      <c r="N12" s="24" t="s">
        <v>29</v>
      </c>
      <c r="O12" s="202" t="s">
        <v>875</v>
      </c>
      <c r="P12" s="203"/>
      <c r="Q12" s="198">
        <v>37</v>
      </c>
      <c r="R12" s="199"/>
      <c r="S12" s="200"/>
      <c r="T12" s="22" t="e">
        <v>#VALUE!</v>
      </c>
      <c r="U12" s="25" t="s">
        <v>863</v>
      </c>
      <c r="V12" s="26"/>
      <c r="W12" s="27"/>
      <c r="X12" s="28"/>
      <c r="Y12" s="29"/>
      <c r="Z12" s="29"/>
      <c r="AA12" s="30"/>
      <c r="AB12" s="30"/>
      <c r="AC12" s="30"/>
      <c r="AD12" s="30"/>
      <c r="AE12" s="30"/>
      <c r="AF12" s="30"/>
      <c r="AG12" s="30"/>
      <c r="AH12" s="30"/>
      <c r="AI12" s="30"/>
      <c r="AJ12" s="30"/>
      <c r="AK12" s="30"/>
      <c r="AL12" s="30"/>
    </row>
    <row r="13" spans="1:38" ht="15.6" x14ac:dyDescent="0.25">
      <c r="A13" s="209"/>
      <c r="B13" s="210"/>
      <c r="C13" s="213" t="s">
        <v>876</v>
      </c>
      <c r="D13" s="214"/>
      <c r="E13" s="205">
        <v>43</v>
      </c>
      <c r="F13" s="206"/>
      <c r="G13" s="206"/>
      <c r="H13" s="207">
        <v>0</v>
      </c>
      <c r="I13" s="207"/>
      <c r="J13" s="207"/>
      <c r="K13" s="23" t="s">
        <v>11</v>
      </c>
      <c r="L13" s="31"/>
      <c r="M13" s="24"/>
      <c r="N13" s="24"/>
      <c r="O13" s="202" t="s">
        <v>877</v>
      </c>
      <c r="P13" s="203"/>
      <c r="Q13" s="198">
        <v>29</v>
      </c>
      <c r="R13" s="199"/>
      <c r="S13" s="200"/>
      <c r="T13" s="22">
        <v>0</v>
      </c>
      <c r="U13" s="32" t="s">
        <v>863</v>
      </c>
      <c r="V13" s="26"/>
      <c r="W13" s="33"/>
      <c r="X13" s="34"/>
      <c r="Y13" s="29"/>
      <c r="Z13" s="29"/>
      <c r="AA13" s="30"/>
      <c r="AB13" s="30"/>
      <c r="AC13" s="30"/>
      <c r="AD13" s="30"/>
      <c r="AE13" s="30"/>
      <c r="AF13" s="30"/>
      <c r="AG13" s="30"/>
      <c r="AH13" s="30"/>
      <c r="AI13" s="30"/>
      <c r="AJ13" s="30"/>
      <c r="AK13" s="30"/>
      <c r="AL13" s="30"/>
    </row>
    <row r="14" spans="1:38" ht="15.6" x14ac:dyDescent="0.25">
      <c r="A14" s="209"/>
      <c r="B14" s="210"/>
      <c r="C14" s="213" t="s">
        <v>878</v>
      </c>
      <c r="D14" s="214"/>
      <c r="E14" s="205">
        <v>30</v>
      </c>
      <c r="F14" s="206"/>
      <c r="G14" s="206"/>
      <c r="H14" s="207">
        <v>0</v>
      </c>
      <c r="I14" s="207"/>
      <c r="J14" s="207"/>
      <c r="K14" s="23" t="s">
        <v>11</v>
      </c>
      <c r="L14" s="31"/>
      <c r="M14" s="24"/>
      <c r="N14" s="24"/>
      <c r="O14" s="202" t="s">
        <v>879</v>
      </c>
      <c r="P14" s="203"/>
      <c r="Q14" s="198">
        <v>34</v>
      </c>
      <c r="R14" s="199"/>
      <c r="S14" s="200"/>
      <c r="T14" s="22">
        <v>0</v>
      </c>
      <c r="U14" s="35" t="s">
        <v>863</v>
      </c>
      <c r="V14" s="26"/>
      <c r="W14" s="33"/>
      <c r="X14" s="34"/>
      <c r="Y14" s="29"/>
      <c r="Z14" s="29"/>
      <c r="AA14" s="30"/>
      <c r="AB14" s="30"/>
      <c r="AC14" s="30"/>
      <c r="AD14" s="30"/>
      <c r="AE14" s="30"/>
      <c r="AF14" s="30"/>
      <c r="AG14" s="30"/>
      <c r="AH14" s="30"/>
      <c r="AI14" s="30"/>
      <c r="AJ14" s="30"/>
      <c r="AK14" s="30"/>
      <c r="AL14" s="30"/>
    </row>
    <row r="15" spans="1:38" ht="7.5" customHeight="1" x14ac:dyDescent="0.25">
      <c r="A15" s="208"/>
      <c r="B15" s="208"/>
      <c r="C15" s="16"/>
      <c r="D15" s="36"/>
      <c r="E15" s="201"/>
      <c r="F15" s="201"/>
      <c r="G15" s="201"/>
      <c r="H15" s="38"/>
      <c r="I15" s="38"/>
      <c r="J15" s="38"/>
      <c r="K15" s="39"/>
      <c r="L15" s="8"/>
      <c r="M15" s="39"/>
      <c r="N15" s="39"/>
      <c r="O15" s="16"/>
      <c r="P15" s="36"/>
      <c r="Q15" s="201"/>
      <c r="R15" s="201"/>
      <c r="S15" s="201"/>
      <c r="T15" s="22"/>
      <c r="U15" s="40"/>
      <c r="V15" s="37"/>
      <c r="W15" s="27"/>
      <c r="X15" s="28"/>
      <c r="Y15" s="29"/>
      <c r="Z15" s="29"/>
      <c r="AA15" s="30"/>
      <c r="AB15" s="30"/>
      <c r="AC15" s="30"/>
      <c r="AD15" s="30"/>
      <c r="AE15" s="30"/>
      <c r="AF15" s="30"/>
      <c r="AG15" s="30"/>
      <c r="AH15" s="30"/>
      <c r="AI15" s="30"/>
      <c r="AJ15" s="30"/>
      <c r="AK15" s="30"/>
      <c r="AL15" s="30"/>
    </row>
    <row r="16" spans="1:38" ht="15.6" customHeight="1" x14ac:dyDescent="0.25">
      <c r="A16" s="209">
        <v>4</v>
      </c>
      <c r="B16" s="210"/>
      <c r="C16" s="211" t="s">
        <v>880</v>
      </c>
      <c r="D16" s="212"/>
      <c r="E16" s="205">
        <v>40</v>
      </c>
      <c r="F16" s="206"/>
      <c r="G16" s="206"/>
      <c r="H16" s="207" t="e">
        <v>#VALUE!</v>
      </c>
      <c r="I16" s="207"/>
      <c r="J16" s="207"/>
      <c r="K16" s="23" t="s">
        <v>11</v>
      </c>
      <c r="L16" s="8"/>
      <c r="M16" s="24" t="s">
        <v>29</v>
      </c>
      <c r="N16" s="24" t="s">
        <v>29</v>
      </c>
      <c r="O16" s="202" t="s">
        <v>881</v>
      </c>
      <c r="P16" s="203"/>
      <c r="Q16" s="198">
        <v>32</v>
      </c>
      <c r="R16" s="199"/>
      <c r="S16" s="200"/>
      <c r="T16" s="22" t="e">
        <v>#VALUE!</v>
      </c>
      <c r="U16" s="25" t="s">
        <v>863</v>
      </c>
      <c r="V16" s="26"/>
      <c r="W16" s="27"/>
      <c r="X16" s="28"/>
      <c r="Y16" s="29"/>
      <c r="Z16" s="29"/>
      <c r="AA16" s="30"/>
      <c r="AB16" s="30"/>
      <c r="AC16" s="30"/>
      <c r="AD16" s="30"/>
      <c r="AE16" s="30"/>
      <c r="AF16" s="30"/>
      <c r="AG16" s="30"/>
      <c r="AH16" s="30"/>
      <c r="AI16" s="30"/>
      <c r="AJ16" s="30"/>
      <c r="AK16" s="30"/>
      <c r="AL16" s="30"/>
    </row>
    <row r="17" spans="1:38" ht="15.6" x14ac:dyDescent="0.25">
      <c r="A17" s="209"/>
      <c r="B17" s="210"/>
      <c r="C17" s="213" t="s">
        <v>882</v>
      </c>
      <c r="D17" s="214"/>
      <c r="E17" s="205">
        <v>24</v>
      </c>
      <c r="F17" s="206"/>
      <c r="G17" s="206"/>
      <c r="H17" s="207">
        <v>0</v>
      </c>
      <c r="I17" s="207"/>
      <c r="J17" s="207"/>
      <c r="K17" s="23" t="s">
        <v>11</v>
      </c>
      <c r="L17" s="31"/>
      <c r="M17" s="24"/>
      <c r="N17" s="24"/>
      <c r="O17" s="202" t="s">
        <v>883</v>
      </c>
      <c r="P17" s="203"/>
      <c r="Q17" s="198">
        <v>47</v>
      </c>
      <c r="R17" s="199"/>
      <c r="S17" s="200"/>
      <c r="T17" s="22">
        <v>0</v>
      </c>
      <c r="U17" s="32" t="s">
        <v>863</v>
      </c>
      <c r="V17" s="26"/>
      <c r="W17" s="33"/>
      <c r="X17" s="34"/>
      <c r="Y17" s="29"/>
      <c r="Z17" s="29"/>
      <c r="AA17" s="30"/>
      <c r="AB17" s="30"/>
      <c r="AC17" s="30"/>
      <c r="AD17" s="30"/>
      <c r="AE17" s="30"/>
      <c r="AF17" s="30"/>
      <c r="AG17" s="30"/>
      <c r="AH17" s="30"/>
      <c r="AI17" s="30"/>
      <c r="AJ17" s="30"/>
      <c r="AK17" s="30"/>
      <c r="AL17" s="30"/>
    </row>
    <row r="18" spans="1:38" ht="15.6" x14ac:dyDescent="0.25">
      <c r="A18" s="209"/>
      <c r="B18" s="210"/>
      <c r="C18" s="213" t="s">
        <v>884</v>
      </c>
      <c r="D18" s="214"/>
      <c r="E18" s="205">
        <v>27</v>
      </c>
      <c r="F18" s="206"/>
      <c r="G18" s="206"/>
      <c r="H18" s="207">
        <v>0</v>
      </c>
      <c r="I18" s="207"/>
      <c r="J18" s="207"/>
      <c r="K18" s="23" t="s">
        <v>11</v>
      </c>
      <c r="L18" s="31"/>
      <c r="M18" s="24"/>
      <c r="N18" s="24"/>
      <c r="O18" s="202" t="s">
        <v>885</v>
      </c>
      <c r="P18" s="203"/>
      <c r="Q18" s="198">
        <v>45</v>
      </c>
      <c r="R18" s="199"/>
      <c r="S18" s="200"/>
      <c r="T18" s="22">
        <v>0</v>
      </c>
      <c r="U18" s="35" t="s">
        <v>863</v>
      </c>
      <c r="V18" s="26"/>
      <c r="W18" s="33"/>
      <c r="X18" s="34"/>
      <c r="Y18" s="29"/>
      <c r="Z18" s="29"/>
      <c r="AA18" s="30"/>
      <c r="AB18" s="30"/>
      <c r="AC18" s="30"/>
      <c r="AD18" s="30"/>
      <c r="AE18" s="30"/>
      <c r="AF18" s="30"/>
      <c r="AG18" s="30"/>
      <c r="AH18" s="30"/>
      <c r="AI18" s="30"/>
      <c r="AJ18" s="30"/>
      <c r="AK18" s="30"/>
      <c r="AL18" s="30"/>
    </row>
    <row r="19" spans="1:38" ht="7.5" customHeight="1" x14ac:dyDescent="0.25">
      <c r="A19" s="208"/>
      <c r="B19" s="208"/>
      <c r="C19" s="16"/>
      <c r="D19" s="36"/>
      <c r="E19" s="201"/>
      <c r="F19" s="201"/>
      <c r="G19" s="201"/>
      <c r="H19" s="38"/>
      <c r="I19" s="38"/>
      <c r="J19" s="38"/>
      <c r="K19" s="39"/>
      <c r="L19" s="8"/>
      <c r="M19" s="39"/>
      <c r="N19" s="39"/>
      <c r="O19" s="16"/>
      <c r="P19" s="36"/>
      <c r="Q19" s="201"/>
      <c r="R19" s="201"/>
      <c r="S19" s="201"/>
      <c r="T19" s="22"/>
      <c r="U19" s="40"/>
      <c r="V19" s="37"/>
      <c r="W19" s="27"/>
      <c r="X19" s="28"/>
      <c r="Y19" s="29"/>
      <c r="Z19" s="29"/>
      <c r="AA19" s="30"/>
      <c r="AB19" s="30"/>
      <c r="AC19" s="30"/>
      <c r="AD19" s="30"/>
      <c r="AE19" s="30"/>
      <c r="AF19" s="30"/>
      <c r="AG19" s="30"/>
      <c r="AH19" s="30"/>
      <c r="AI19" s="30"/>
      <c r="AJ19" s="30"/>
      <c r="AK19" s="30"/>
      <c r="AL19" s="30"/>
    </row>
    <row r="20" spans="1:38" ht="15.6" customHeight="1" x14ac:dyDescent="0.25">
      <c r="A20" s="209">
        <v>5</v>
      </c>
      <c r="B20" s="210"/>
      <c r="C20" s="211" t="s">
        <v>886</v>
      </c>
      <c r="D20" s="212"/>
      <c r="E20" s="205">
        <v>38</v>
      </c>
      <c r="F20" s="206"/>
      <c r="G20" s="206"/>
      <c r="H20" s="207" t="e">
        <v>#VALUE!</v>
      </c>
      <c r="I20" s="207"/>
      <c r="J20" s="207"/>
      <c r="K20" s="23" t="s">
        <v>11</v>
      </c>
      <c r="L20" s="8"/>
      <c r="M20" s="24" t="s">
        <v>29</v>
      </c>
      <c r="N20" s="24" t="s">
        <v>29</v>
      </c>
      <c r="O20" s="202" t="s">
        <v>887</v>
      </c>
      <c r="P20" s="203"/>
      <c r="Q20" s="198">
        <v>29</v>
      </c>
      <c r="R20" s="199"/>
      <c r="S20" s="200"/>
      <c r="T20" s="22" t="e">
        <v>#VALUE!</v>
      </c>
      <c r="U20" s="25" t="s">
        <v>863</v>
      </c>
      <c r="V20" s="26"/>
      <c r="W20" s="27"/>
      <c r="X20" s="28"/>
      <c r="Y20" s="29"/>
      <c r="Z20" s="29"/>
      <c r="AA20" s="30"/>
      <c r="AB20" s="30"/>
      <c r="AC20" s="30"/>
      <c r="AD20" s="30"/>
      <c r="AE20" s="30"/>
      <c r="AF20" s="30"/>
      <c r="AG20" s="30"/>
      <c r="AH20" s="30"/>
      <c r="AI20" s="30"/>
      <c r="AJ20" s="30"/>
      <c r="AK20" s="30"/>
      <c r="AL20" s="30"/>
    </row>
    <row r="21" spans="1:38" ht="15.6" x14ac:dyDescent="0.25">
      <c r="A21" s="209"/>
      <c r="B21" s="210"/>
      <c r="C21" s="213" t="s">
        <v>888</v>
      </c>
      <c r="D21" s="214"/>
      <c r="E21" s="205">
        <v>36</v>
      </c>
      <c r="F21" s="206"/>
      <c r="G21" s="206"/>
      <c r="H21" s="207">
        <v>0</v>
      </c>
      <c r="I21" s="207"/>
      <c r="J21" s="207"/>
      <c r="K21" s="23" t="s">
        <v>11</v>
      </c>
      <c r="L21" s="31"/>
      <c r="M21" s="24"/>
      <c r="N21" s="24"/>
      <c r="O21" s="202" t="s">
        <v>889</v>
      </c>
      <c r="P21" s="203"/>
      <c r="Q21" s="198">
        <v>35</v>
      </c>
      <c r="R21" s="199"/>
      <c r="S21" s="200"/>
      <c r="T21" s="22">
        <v>0</v>
      </c>
      <c r="U21" s="32" t="s">
        <v>863</v>
      </c>
      <c r="V21" s="26"/>
      <c r="W21" s="33"/>
      <c r="X21" s="34"/>
      <c r="Y21" s="29"/>
      <c r="Z21" s="29"/>
      <c r="AA21" s="30"/>
      <c r="AB21" s="30"/>
      <c r="AC21" s="30"/>
      <c r="AD21" s="30"/>
      <c r="AE21" s="30"/>
      <c r="AF21" s="30"/>
      <c r="AG21" s="30"/>
      <c r="AH21" s="30"/>
      <c r="AI21" s="30"/>
      <c r="AJ21" s="30"/>
      <c r="AK21" s="30"/>
      <c r="AL21" s="30"/>
    </row>
    <row r="22" spans="1:38" ht="15.6" x14ac:dyDescent="0.25">
      <c r="A22" s="209"/>
      <c r="B22" s="210"/>
      <c r="C22" s="213" t="s">
        <v>890</v>
      </c>
      <c r="D22" s="214"/>
      <c r="E22" s="205">
        <v>10</v>
      </c>
      <c r="F22" s="206"/>
      <c r="G22" s="206"/>
      <c r="H22" s="207">
        <v>0</v>
      </c>
      <c r="I22" s="207"/>
      <c r="J22" s="207"/>
      <c r="K22" s="23" t="s">
        <v>11</v>
      </c>
      <c r="L22" s="31"/>
      <c r="M22" s="24"/>
      <c r="N22" s="24"/>
      <c r="O22" s="202" t="s">
        <v>891</v>
      </c>
      <c r="P22" s="203"/>
      <c r="Q22" s="198">
        <v>50</v>
      </c>
      <c r="R22" s="199"/>
      <c r="S22" s="200"/>
      <c r="T22" s="22">
        <v>0</v>
      </c>
      <c r="U22" s="35" t="s">
        <v>863</v>
      </c>
      <c r="V22" s="26"/>
      <c r="W22" s="33"/>
      <c r="X22" s="34"/>
      <c r="Y22" s="29"/>
      <c r="Z22" s="29"/>
      <c r="AA22" s="30"/>
      <c r="AB22" s="30"/>
      <c r="AC22" s="30"/>
      <c r="AD22" s="30"/>
      <c r="AE22" s="30"/>
      <c r="AF22" s="30"/>
      <c r="AG22" s="30"/>
      <c r="AH22" s="30"/>
      <c r="AI22" s="30"/>
      <c r="AJ22" s="30"/>
      <c r="AK22" s="30"/>
      <c r="AL22" s="30"/>
    </row>
    <row r="23" spans="1:38" ht="7.5" customHeight="1" x14ac:dyDescent="0.25">
      <c r="A23" s="208"/>
      <c r="B23" s="208"/>
      <c r="C23" s="16"/>
      <c r="D23" s="36"/>
      <c r="E23" s="201"/>
      <c r="F23" s="201"/>
      <c r="G23" s="201"/>
      <c r="H23" s="38"/>
      <c r="I23" s="38"/>
      <c r="J23" s="38"/>
      <c r="K23" s="39"/>
      <c r="L23" s="8"/>
      <c r="M23" s="39"/>
      <c r="N23" s="39"/>
      <c r="O23" s="16"/>
      <c r="P23" s="36"/>
      <c r="Q23" s="201"/>
      <c r="R23" s="201"/>
      <c r="S23" s="201"/>
      <c r="T23" s="22"/>
      <c r="U23" s="40"/>
      <c r="V23" s="37"/>
      <c r="W23" s="27"/>
      <c r="X23" s="28"/>
      <c r="Y23" s="29"/>
      <c r="Z23" s="29"/>
      <c r="AA23" s="30"/>
      <c r="AB23" s="30"/>
      <c r="AC23" s="30"/>
      <c r="AD23" s="30"/>
      <c r="AE23" s="30"/>
      <c r="AF23" s="30"/>
      <c r="AG23" s="30"/>
      <c r="AH23" s="30"/>
      <c r="AI23" s="30"/>
      <c r="AJ23" s="30"/>
      <c r="AK23" s="30"/>
      <c r="AL23" s="30"/>
    </row>
    <row r="24" spans="1:38" ht="15.6" customHeight="1" x14ac:dyDescent="0.25">
      <c r="A24" s="209">
        <v>6</v>
      </c>
      <c r="B24" s="210"/>
      <c r="C24" s="211" t="s">
        <v>892</v>
      </c>
      <c r="D24" s="212"/>
      <c r="E24" s="205">
        <v>32</v>
      </c>
      <c r="F24" s="206"/>
      <c r="G24" s="206"/>
      <c r="H24" s="207" t="e">
        <v>#VALUE!</v>
      </c>
      <c r="I24" s="207"/>
      <c r="J24" s="207"/>
      <c r="K24" s="23" t="s">
        <v>11</v>
      </c>
      <c r="L24" s="8"/>
      <c r="M24" s="24" t="s">
        <v>29</v>
      </c>
      <c r="N24" s="24" t="s">
        <v>29</v>
      </c>
      <c r="O24" s="202" t="s">
        <v>893</v>
      </c>
      <c r="P24" s="203"/>
      <c r="Q24" s="198">
        <v>34</v>
      </c>
      <c r="R24" s="199"/>
      <c r="S24" s="200"/>
      <c r="T24" s="22" t="e">
        <v>#VALUE!</v>
      </c>
      <c r="U24" s="25" t="s">
        <v>863</v>
      </c>
      <c r="V24" s="26"/>
      <c r="W24" s="27"/>
      <c r="X24" s="28"/>
      <c r="Y24" s="29"/>
      <c r="Z24" s="29"/>
      <c r="AA24" s="30"/>
      <c r="AB24" s="30"/>
      <c r="AC24" s="30"/>
      <c r="AD24" s="30"/>
      <c r="AE24" s="30"/>
      <c r="AF24" s="30"/>
      <c r="AG24" s="30"/>
      <c r="AH24" s="30"/>
      <c r="AI24" s="30"/>
      <c r="AJ24" s="30"/>
      <c r="AK24" s="30"/>
      <c r="AL24" s="30"/>
    </row>
    <row r="25" spans="1:38" ht="15.6" x14ac:dyDescent="0.25">
      <c r="A25" s="209"/>
      <c r="B25" s="210"/>
      <c r="C25" s="213" t="s">
        <v>894</v>
      </c>
      <c r="D25" s="214"/>
      <c r="E25" s="205">
        <v>33</v>
      </c>
      <c r="F25" s="206"/>
      <c r="G25" s="206"/>
      <c r="H25" s="207">
        <v>0</v>
      </c>
      <c r="I25" s="207"/>
      <c r="J25" s="207"/>
      <c r="K25" s="23" t="s">
        <v>11</v>
      </c>
      <c r="L25" s="31"/>
      <c r="M25" s="24"/>
      <c r="N25" s="24"/>
      <c r="O25" s="202" t="s">
        <v>895</v>
      </c>
      <c r="P25" s="203"/>
      <c r="Q25" s="198">
        <v>30</v>
      </c>
      <c r="R25" s="199"/>
      <c r="S25" s="200"/>
      <c r="T25" s="22">
        <v>0</v>
      </c>
      <c r="U25" s="32" t="s">
        <v>863</v>
      </c>
      <c r="V25" s="26"/>
      <c r="W25" s="33"/>
      <c r="X25" s="34"/>
      <c r="Y25" s="29"/>
      <c r="Z25" s="29"/>
      <c r="AA25" s="30"/>
      <c r="AB25" s="30"/>
      <c r="AC25" s="30"/>
      <c r="AD25" s="30"/>
      <c r="AE25" s="30"/>
      <c r="AF25" s="30"/>
      <c r="AG25" s="30"/>
      <c r="AH25" s="30"/>
      <c r="AI25" s="30"/>
      <c r="AJ25" s="30"/>
      <c r="AK25" s="30"/>
      <c r="AL25" s="30"/>
    </row>
    <row r="26" spans="1:38" ht="15.6" x14ac:dyDescent="0.25">
      <c r="A26" s="209"/>
      <c r="B26" s="210"/>
      <c r="C26" s="213" t="s">
        <v>896</v>
      </c>
      <c r="D26" s="214"/>
      <c r="E26" s="205">
        <v>21</v>
      </c>
      <c r="F26" s="206"/>
      <c r="G26" s="206"/>
      <c r="H26" s="207">
        <v>0</v>
      </c>
      <c r="I26" s="207"/>
      <c r="J26" s="207"/>
      <c r="K26" s="23" t="s">
        <v>11</v>
      </c>
      <c r="L26" s="31"/>
      <c r="M26" s="24"/>
      <c r="N26" s="24"/>
      <c r="O26" s="202" t="s">
        <v>897</v>
      </c>
      <c r="P26" s="203"/>
      <c r="Q26" s="198">
        <v>48</v>
      </c>
      <c r="R26" s="199"/>
      <c r="S26" s="200"/>
      <c r="T26" s="22">
        <v>0</v>
      </c>
      <c r="U26" s="35" t="s">
        <v>863</v>
      </c>
      <c r="V26" s="26"/>
      <c r="W26" s="33"/>
      <c r="X26" s="34"/>
      <c r="Y26" s="29"/>
      <c r="Z26" s="29"/>
      <c r="AA26" s="30"/>
      <c r="AB26" s="30"/>
      <c r="AC26" s="30"/>
      <c r="AD26" s="30"/>
      <c r="AE26" s="30"/>
      <c r="AF26" s="30"/>
      <c r="AG26" s="30"/>
      <c r="AH26" s="30"/>
      <c r="AI26" s="30"/>
      <c r="AJ26" s="30"/>
      <c r="AK26" s="30"/>
      <c r="AL26" s="30"/>
    </row>
    <row r="27" spans="1:38" ht="7.5" customHeight="1" x14ac:dyDescent="0.25">
      <c r="A27" s="208"/>
      <c r="B27" s="208"/>
      <c r="C27" s="16"/>
      <c r="D27" s="36"/>
      <c r="E27" s="201"/>
      <c r="F27" s="201"/>
      <c r="G27" s="201"/>
      <c r="H27" s="38"/>
      <c r="I27" s="38"/>
      <c r="J27" s="38"/>
      <c r="K27" s="39"/>
      <c r="L27" s="8"/>
      <c r="M27" s="39"/>
      <c r="N27" s="39"/>
      <c r="O27" s="16"/>
      <c r="P27" s="36"/>
      <c r="Q27" s="201"/>
      <c r="R27" s="201"/>
      <c r="S27" s="201"/>
      <c r="T27" s="22"/>
      <c r="U27" s="40"/>
      <c r="V27" s="37"/>
      <c r="W27" s="27"/>
      <c r="X27" s="28"/>
      <c r="Y27" s="29"/>
      <c r="Z27" s="29"/>
      <c r="AA27" s="30"/>
      <c r="AB27" s="30"/>
      <c r="AC27" s="30"/>
      <c r="AD27" s="30"/>
      <c r="AE27" s="30"/>
      <c r="AF27" s="30"/>
      <c r="AG27" s="30"/>
      <c r="AH27" s="30"/>
      <c r="AI27" s="30"/>
      <c r="AJ27" s="30"/>
      <c r="AK27" s="30"/>
      <c r="AL27" s="30"/>
    </row>
    <row r="28" spans="1:38" ht="15.6" customHeight="1" x14ac:dyDescent="0.25">
      <c r="A28" s="209">
        <v>7</v>
      </c>
      <c r="B28" s="210"/>
      <c r="C28" s="211" t="s">
        <v>898</v>
      </c>
      <c r="D28" s="212"/>
      <c r="E28" s="205">
        <v>25</v>
      </c>
      <c r="F28" s="206"/>
      <c r="G28" s="206"/>
      <c r="H28" s="207" t="e">
        <v>#VALUE!</v>
      </c>
      <c r="I28" s="207"/>
      <c r="J28" s="207"/>
      <c r="K28" s="23" t="s">
        <v>11</v>
      </c>
      <c r="L28" s="8"/>
      <c r="M28" s="24" t="s">
        <v>29</v>
      </c>
      <c r="N28" s="24" t="s">
        <v>29</v>
      </c>
      <c r="O28" s="202" t="s">
        <v>899</v>
      </c>
      <c r="P28" s="203"/>
      <c r="Q28" s="198">
        <v>47</v>
      </c>
      <c r="R28" s="199"/>
      <c r="S28" s="200"/>
      <c r="T28" s="22" t="e">
        <v>#VALUE!</v>
      </c>
      <c r="U28" s="25" t="s">
        <v>863</v>
      </c>
      <c r="V28" s="26"/>
      <c r="W28" s="27"/>
      <c r="X28" s="28"/>
      <c r="Y28" s="29"/>
      <c r="Z28" s="29"/>
      <c r="AA28" s="30"/>
      <c r="AB28" s="30"/>
      <c r="AC28" s="30"/>
      <c r="AD28" s="30"/>
      <c r="AE28" s="30"/>
      <c r="AF28" s="30"/>
      <c r="AG28" s="30"/>
      <c r="AH28" s="30"/>
      <c r="AI28" s="30"/>
      <c r="AJ28" s="30"/>
      <c r="AK28" s="30"/>
      <c r="AL28" s="30"/>
    </row>
    <row r="29" spans="1:38" ht="15.6" x14ac:dyDescent="0.25">
      <c r="A29" s="209"/>
      <c r="B29" s="210"/>
      <c r="C29" s="213" t="s">
        <v>900</v>
      </c>
      <c r="D29" s="214"/>
      <c r="E29" s="205">
        <v>25</v>
      </c>
      <c r="F29" s="206"/>
      <c r="G29" s="206"/>
      <c r="H29" s="207">
        <v>0</v>
      </c>
      <c r="I29" s="207"/>
      <c r="J29" s="207"/>
      <c r="K29" s="23" t="s">
        <v>11</v>
      </c>
      <c r="L29" s="31"/>
      <c r="M29" s="24"/>
      <c r="N29" s="24"/>
      <c r="O29" s="202" t="s">
        <v>901</v>
      </c>
      <c r="P29" s="203"/>
      <c r="Q29" s="198">
        <v>37</v>
      </c>
      <c r="R29" s="199"/>
      <c r="S29" s="200"/>
      <c r="T29" s="22">
        <v>0</v>
      </c>
      <c r="U29" s="32" t="s">
        <v>863</v>
      </c>
      <c r="V29" s="26"/>
      <c r="W29" s="33"/>
      <c r="X29" s="34"/>
      <c r="Y29" s="29"/>
      <c r="Z29" s="29"/>
      <c r="AA29" s="30"/>
      <c r="AB29" s="30"/>
      <c r="AC29" s="30"/>
      <c r="AD29" s="30"/>
      <c r="AE29" s="30"/>
      <c r="AF29" s="30"/>
      <c r="AG29" s="30"/>
      <c r="AH29" s="30"/>
      <c r="AI29" s="30"/>
      <c r="AJ29" s="30"/>
      <c r="AK29" s="30"/>
      <c r="AL29" s="30"/>
    </row>
    <row r="30" spans="1:38" ht="15.6" x14ac:dyDescent="0.25">
      <c r="A30" s="209"/>
      <c r="B30" s="210"/>
      <c r="C30" s="213" t="s">
        <v>902</v>
      </c>
      <c r="D30" s="214"/>
      <c r="E30" s="205">
        <v>36</v>
      </c>
      <c r="F30" s="206"/>
      <c r="G30" s="206"/>
      <c r="H30" s="207">
        <v>0</v>
      </c>
      <c r="I30" s="207"/>
      <c r="J30" s="207"/>
      <c r="K30" s="23" t="s">
        <v>11</v>
      </c>
      <c r="L30" s="31"/>
      <c r="M30" s="24"/>
      <c r="N30" s="24"/>
      <c r="O30" s="202" t="s">
        <v>903</v>
      </c>
      <c r="P30" s="203"/>
      <c r="Q30" s="198">
        <v>35</v>
      </c>
      <c r="R30" s="199"/>
      <c r="S30" s="200"/>
      <c r="T30" s="22">
        <v>0</v>
      </c>
      <c r="U30" s="35" t="s">
        <v>863</v>
      </c>
      <c r="V30" s="26"/>
      <c r="W30" s="33"/>
      <c r="X30" s="34"/>
      <c r="Y30" s="29"/>
      <c r="Z30" s="29"/>
      <c r="AA30" s="30"/>
      <c r="AB30" s="30"/>
      <c r="AC30" s="30"/>
      <c r="AD30" s="30"/>
      <c r="AE30" s="30"/>
      <c r="AF30" s="30"/>
      <c r="AG30" s="30"/>
      <c r="AH30" s="30"/>
      <c r="AI30" s="30"/>
      <c r="AJ30" s="30"/>
      <c r="AK30" s="30"/>
      <c r="AL30" s="30"/>
    </row>
    <row r="31" spans="1:38" ht="7.5" customHeight="1" x14ac:dyDescent="0.25">
      <c r="A31" s="208"/>
      <c r="B31" s="208"/>
      <c r="C31" s="16"/>
      <c r="D31" s="36"/>
      <c r="E31" s="201"/>
      <c r="F31" s="201"/>
      <c r="G31" s="201"/>
      <c r="H31" s="38"/>
      <c r="I31" s="38"/>
      <c r="J31" s="38"/>
      <c r="K31" s="39"/>
      <c r="L31" s="8"/>
      <c r="M31" s="39"/>
      <c r="N31" s="39"/>
      <c r="O31" s="16"/>
      <c r="P31" s="36"/>
      <c r="Q31" s="201"/>
      <c r="R31" s="201"/>
      <c r="S31" s="201"/>
      <c r="T31" s="22"/>
      <c r="U31" s="40"/>
      <c r="V31" s="37"/>
      <c r="W31" s="27"/>
      <c r="X31" s="28"/>
      <c r="Y31" s="29"/>
      <c r="Z31" s="29"/>
      <c r="AA31" s="30"/>
      <c r="AB31" s="30"/>
      <c r="AC31" s="30"/>
      <c r="AD31" s="30"/>
      <c r="AE31" s="30"/>
      <c r="AF31" s="30"/>
      <c r="AG31" s="30"/>
      <c r="AH31" s="30"/>
      <c r="AI31" s="30"/>
      <c r="AJ31" s="30"/>
      <c r="AK31" s="30"/>
      <c r="AL31" s="30"/>
    </row>
    <row r="32" spans="1:38" ht="15.6" customHeight="1" x14ac:dyDescent="0.25">
      <c r="A32" s="209">
        <v>8</v>
      </c>
      <c r="B32" s="210"/>
      <c r="C32" s="211" t="s">
        <v>904</v>
      </c>
      <c r="D32" s="212"/>
      <c r="E32" s="205">
        <v>35</v>
      </c>
      <c r="F32" s="206"/>
      <c r="G32" s="206"/>
      <c r="H32" s="207" t="e">
        <v>#VALUE!</v>
      </c>
      <c r="I32" s="207"/>
      <c r="J32" s="207"/>
      <c r="K32" s="23" t="s">
        <v>11</v>
      </c>
      <c r="L32" s="8"/>
      <c r="M32" s="24" t="s">
        <v>29</v>
      </c>
      <c r="N32" s="24" t="s">
        <v>29</v>
      </c>
      <c r="O32" s="202" t="s">
        <v>905</v>
      </c>
      <c r="P32" s="203"/>
      <c r="Q32" s="198">
        <v>30</v>
      </c>
      <c r="R32" s="199"/>
      <c r="S32" s="200"/>
      <c r="T32" s="22" t="e">
        <v>#VALUE!</v>
      </c>
      <c r="U32" s="25" t="s">
        <v>863</v>
      </c>
      <c r="V32" s="26"/>
      <c r="W32" s="27"/>
      <c r="X32" s="28"/>
      <c r="Y32" s="29"/>
      <c r="Z32" s="29"/>
      <c r="AA32" s="30"/>
      <c r="AB32" s="30"/>
      <c r="AC32" s="30"/>
      <c r="AD32" s="30"/>
      <c r="AE32" s="30"/>
      <c r="AF32" s="30"/>
      <c r="AG32" s="30"/>
      <c r="AH32" s="30"/>
      <c r="AI32" s="30"/>
      <c r="AJ32" s="30"/>
      <c r="AK32" s="30"/>
      <c r="AL32" s="30"/>
    </row>
    <row r="33" spans="1:38" ht="15.6" x14ac:dyDescent="0.25">
      <c r="A33" s="209"/>
      <c r="B33" s="210"/>
      <c r="C33" s="213" t="s">
        <v>907</v>
      </c>
      <c r="D33" s="214"/>
      <c r="E33" s="205">
        <v>23</v>
      </c>
      <c r="F33" s="206"/>
      <c r="G33" s="206"/>
      <c r="H33" s="207">
        <v>0</v>
      </c>
      <c r="I33" s="207"/>
      <c r="J33" s="207"/>
      <c r="K33" s="23" t="s">
        <v>11</v>
      </c>
      <c r="L33" s="31"/>
      <c r="M33" s="24"/>
      <c r="N33" s="24"/>
      <c r="O33" s="202" t="s">
        <v>908</v>
      </c>
      <c r="P33" s="203"/>
      <c r="Q33" s="198">
        <v>31</v>
      </c>
      <c r="R33" s="199"/>
      <c r="S33" s="200"/>
      <c r="T33" s="22">
        <v>0</v>
      </c>
      <c r="U33" s="32" t="s">
        <v>863</v>
      </c>
      <c r="V33" s="26"/>
      <c r="W33" s="33"/>
      <c r="X33" s="34"/>
      <c r="Y33" s="29"/>
      <c r="Z33" s="29"/>
      <c r="AA33" s="30"/>
      <c r="AB33" s="30"/>
      <c r="AC33" s="30"/>
      <c r="AD33" s="30"/>
      <c r="AE33" s="30"/>
      <c r="AF33" s="30"/>
      <c r="AG33" s="30"/>
      <c r="AH33" s="30"/>
      <c r="AI33" s="30"/>
      <c r="AJ33" s="30"/>
      <c r="AK33" s="30"/>
      <c r="AL33" s="30"/>
    </row>
    <row r="34" spans="1:38" ht="15.6" x14ac:dyDescent="0.25">
      <c r="A34" s="209"/>
      <c r="B34" s="210"/>
      <c r="C34" s="213" t="s">
        <v>909</v>
      </c>
      <c r="D34" s="214"/>
      <c r="E34" s="205">
        <v>30</v>
      </c>
      <c r="F34" s="206"/>
      <c r="G34" s="206"/>
      <c r="H34" s="207">
        <v>0</v>
      </c>
      <c r="I34" s="207"/>
      <c r="J34" s="207"/>
      <c r="K34" s="23" t="s">
        <v>11</v>
      </c>
      <c r="L34" s="31"/>
      <c r="M34" s="24"/>
      <c r="N34" s="24"/>
      <c r="O34" s="202" t="s">
        <v>910</v>
      </c>
      <c r="P34" s="203"/>
      <c r="Q34" s="198">
        <v>25</v>
      </c>
      <c r="R34" s="199"/>
      <c r="S34" s="200"/>
      <c r="T34" s="22">
        <v>0</v>
      </c>
      <c r="U34" s="35" t="s">
        <v>863</v>
      </c>
      <c r="V34" s="26"/>
      <c r="W34" s="33"/>
      <c r="X34" s="34"/>
      <c r="Y34" s="29"/>
      <c r="Z34" s="29"/>
      <c r="AA34" s="30"/>
      <c r="AB34" s="30"/>
      <c r="AC34" s="30"/>
      <c r="AD34" s="30"/>
      <c r="AE34" s="30"/>
      <c r="AF34" s="30"/>
      <c r="AG34" s="30"/>
      <c r="AH34" s="30"/>
      <c r="AI34" s="30"/>
      <c r="AJ34" s="30"/>
      <c r="AK34" s="30"/>
      <c r="AL34" s="30"/>
    </row>
    <row r="35" spans="1:38" ht="17.399999999999999" x14ac:dyDescent="0.3">
      <c r="A35" s="218"/>
      <c r="B35" s="218"/>
      <c r="C35" s="17"/>
      <c r="D35" s="9"/>
      <c r="E35" s="204"/>
      <c r="F35" s="204"/>
      <c r="G35" s="204"/>
      <c r="H35" s="8"/>
      <c r="I35" s="8"/>
      <c r="J35" s="8"/>
      <c r="K35" s="8"/>
      <c r="L35" s="8"/>
      <c r="M35" s="41"/>
      <c r="N35" s="41"/>
      <c r="O35" s="17"/>
      <c r="P35" s="9"/>
      <c r="Q35" s="204"/>
      <c r="R35" s="204"/>
      <c r="S35" s="204"/>
      <c r="T35" s="8"/>
      <c r="U35" s="1"/>
      <c r="V35" s="1"/>
      <c r="W35" s="8"/>
      <c r="X35" s="20"/>
      <c r="Y35" s="29" t="s">
        <v>906</v>
      </c>
      <c r="Z35" s="29" t="s">
        <v>12</v>
      </c>
      <c r="AA35" s="30">
        <v>15</v>
      </c>
      <c r="AB35" s="30">
        <v>2</v>
      </c>
      <c r="AC35" s="30">
        <v>2</v>
      </c>
      <c r="AD35" s="30">
        <v>0</v>
      </c>
      <c r="AE35" s="30">
        <v>4</v>
      </c>
      <c r="AF35" s="30">
        <v>1</v>
      </c>
      <c r="AG35" s="30">
        <v>1</v>
      </c>
      <c r="AH35" s="30"/>
      <c r="AI35" s="30"/>
      <c r="AJ35" s="30"/>
      <c r="AK35" s="30"/>
      <c r="AL35" s="30"/>
    </row>
  </sheetData>
  <mergeCells count="156">
    <mergeCell ref="C18:D18"/>
    <mergeCell ref="E18:G18"/>
    <mergeCell ref="A19:B19"/>
    <mergeCell ref="E19:G19"/>
    <mergeCell ref="A20:B22"/>
    <mergeCell ref="E20:G20"/>
    <mergeCell ref="H20:J20"/>
    <mergeCell ref="H22:J22"/>
    <mergeCell ref="C16:D16"/>
    <mergeCell ref="C17:D17"/>
    <mergeCell ref="E17:G17"/>
    <mergeCell ref="H17:J17"/>
    <mergeCell ref="C20:D20"/>
    <mergeCell ref="C21:D21"/>
    <mergeCell ref="C22:D22"/>
    <mergeCell ref="E22:G22"/>
    <mergeCell ref="C32:D32"/>
    <mergeCell ref="C33:D33"/>
    <mergeCell ref="E33:G33"/>
    <mergeCell ref="H33:J33"/>
    <mergeCell ref="C34:D34"/>
    <mergeCell ref="E34:G34"/>
    <mergeCell ref="A35:B35"/>
    <mergeCell ref="E35:G35"/>
    <mergeCell ref="C30:D30"/>
    <mergeCell ref="E30:G30"/>
    <mergeCell ref="A31:B31"/>
    <mergeCell ref="E31:G31"/>
    <mergeCell ref="A32:B34"/>
    <mergeCell ref="E32:G32"/>
    <mergeCell ref="H32:J32"/>
    <mergeCell ref="H34:J34"/>
    <mergeCell ref="A24:B26"/>
    <mergeCell ref="E24:G24"/>
    <mergeCell ref="H24:J24"/>
    <mergeCell ref="H26:J26"/>
    <mergeCell ref="C26:D26"/>
    <mergeCell ref="E26:G26"/>
    <mergeCell ref="A27:B27"/>
    <mergeCell ref="E27:G27"/>
    <mergeCell ref="A28:B30"/>
    <mergeCell ref="E28:G28"/>
    <mergeCell ref="H28:J28"/>
    <mergeCell ref="H30:J30"/>
    <mergeCell ref="C24:D24"/>
    <mergeCell ref="C25:D25"/>
    <mergeCell ref="E25:G25"/>
    <mergeCell ref="H25:J25"/>
    <mergeCell ref="C28:D28"/>
    <mergeCell ref="C29:D29"/>
    <mergeCell ref="E29:G29"/>
    <mergeCell ref="H29:J29"/>
    <mergeCell ref="A23:B23"/>
    <mergeCell ref="E23:G23"/>
    <mergeCell ref="C12:D12"/>
    <mergeCell ref="C13:D13"/>
    <mergeCell ref="E13:G13"/>
    <mergeCell ref="H13:J13"/>
    <mergeCell ref="E10:G10"/>
    <mergeCell ref="H10:J10"/>
    <mergeCell ref="A11:B11"/>
    <mergeCell ref="E11:G11"/>
    <mergeCell ref="A12:B14"/>
    <mergeCell ref="E12:G12"/>
    <mergeCell ref="H12:J12"/>
    <mergeCell ref="H14:J14"/>
    <mergeCell ref="C14:D14"/>
    <mergeCell ref="E14:G14"/>
    <mergeCell ref="A15:B15"/>
    <mergeCell ref="E15:G15"/>
    <mergeCell ref="A16:B18"/>
    <mergeCell ref="E16:G16"/>
    <mergeCell ref="H16:J16"/>
    <mergeCell ref="H18:J18"/>
    <mergeCell ref="E21:G21"/>
    <mergeCell ref="H21:J21"/>
    <mergeCell ref="AA1:AG1"/>
    <mergeCell ref="A3:B3"/>
    <mergeCell ref="E3:G3"/>
    <mergeCell ref="Q3:S3"/>
    <mergeCell ref="A4:B6"/>
    <mergeCell ref="Q5:S5"/>
    <mergeCell ref="O6:P6"/>
    <mergeCell ref="Q6:S6"/>
    <mergeCell ref="E6:G6"/>
    <mergeCell ref="H6:J6"/>
    <mergeCell ref="C5:D5"/>
    <mergeCell ref="E5:G5"/>
    <mergeCell ref="H5:J5"/>
    <mergeCell ref="O5:P5"/>
    <mergeCell ref="C4:D4"/>
    <mergeCell ref="C6:D6"/>
    <mergeCell ref="A7:B7"/>
    <mergeCell ref="A8:B10"/>
    <mergeCell ref="C8:D8"/>
    <mergeCell ref="C9:D9"/>
    <mergeCell ref="C10:D10"/>
    <mergeCell ref="O8:P8"/>
    <mergeCell ref="O9:P9"/>
    <mergeCell ref="E7:G7"/>
    <mergeCell ref="E8:G8"/>
    <mergeCell ref="H8:J8"/>
    <mergeCell ref="E9:G9"/>
    <mergeCell ref="H9:J9"/>
    <mergeCell ref="O10:P10"/>
    <mergeCell ref="Q35:S35"/>
    <mergeCell ref="O30:P30"/>
    <mergeCell ref="Q30:S30"/>
    <mergeCell ref="Q31:S31"/>
    <mergeCell ref="O32:P32"/>
    <mergeCell ref="Q32:S32"/>
    <mergeCell ref="O33:P33"/>
    <mergeCell ref="Q33:S33"/>
    <mergeCell ref="E4:G4"/>
    <mergeCell ref="H4:J4"/>
    <mergeCell ref="O4:P4"/>
    <mergeCell ref="Q4:S4"/>
    <mergeCell ref="Q7:S7"/>
    <mergeCell ref="Q8:S8"/>
    <mergeCell ref="Q9:S9"/>
    <mergeCell ref="O26:P26"/>
    <mergeCell ref="Q26:S26"/>
    <mergeCell ref="Q27:S27"/>
    <mergeCell ref="O28:P28"/>
    <mergeCell ref="Q28:S28"/>
    <mergeCell ref="O29:P29"/>
    <mergeCell ref="Q29:S29"/>
    <mergeCell ref="O34:P34"/>
    <mergeCell ref="Q34:S34"/>
    <mergeCell ref="O21:P21"/>
    <mergeCell ref="Q21:S21"/>
    <mergeCell ref="O22:P22"/>
    <mergeCell ref="Q22:S22"/>
    <mergeCell ref="Q23:S23"/>
    <mergeCell ref="O24:P24"/>
    <mergeCell ref="Q24:S24"/>
    <mergeCell ref="O25:P25"/>
    <mergeCell ref="Q25:S25"/>
    <mergeCell ref="O16:P16"/>
    <mergeCell ref="Q16:S16"/>
    <mergeCell ref="O17:P17"/>
    <mergeCell ref="Q17:S17"/>
    <mergeCell ref="O18:P18"/>
    <mergeCell ref="Q18:S18"/>
    <mergeCell ref="Q19:S19"/>
    <mergeCell ref="O20:P20"/>
    <mergeCell ref="Q20:S20"/>
    <mergeCell ref="Q10:S10"/>
    <mergeCell ref="Q11:S11"/>
    <mergeCell ref="O12:P12"/>
    <mergeCell ref="Q12:S12"/>
    <mergeCell ref="O13:P13"/>
    <mergeCell ref="Q13:S13"/>
    <mergeCell ref="O14:P14"/>
    <mergeCell ref="Q14:S14"/>
    <mergeCell ref="Q15:S15"/>
  </mergeCells>
  <conditionalFormatting sqref="C4:G35">
    <cfRule type="expression" dxfId="23" priority="5">
      <formula>AND($E4&gt;0,$E4&gt;$Q4)</formula>
    </cfRule>
  </conditionalFormatting>
  <conditionalFormatting sqref="H4:H34 T4:T34">
    <cfRule type="expression" dxfId="22" priority="6">
      <formula>AND(H4&gt;0,H4&lt;&gt;"")</formula>
    </cfRule>
  </conditionalFormatting>
  <conditionalFormatting sqref="O4:S35">
    <cfRule type="expression" dxfId="21" priority="4">
      <formula>AND($Q4&gt;0,$Q4&gt;$E4)</formula>
    </cfRule>
  </conditionalFormatting>
  <conditionalFormatting sqref="U4:U34">
    <cfRule type="containsText" dxfId="20" priority="3" operator="containsText" text="NVSL">
      <formula>NOT(ISERROR(SEARCH(("NVSL"),(U4))))</formula>
    </cfRule>
    <cfRule type="containsText" dxfId="19" priority="7" operator="containsText" text="Delayed">
      <formula>NOT(ISERROR(SEARCH(("Delayed"),(U4))))</formula>
    </cfRule>
    <cfRule type="containsText" dxfId="18" priority="8" operator="containsText" text="Awaiting">
      <formula>NOT(ISERROR(SEARCH(("Awaiting"),(U4))))</formula>
    </cfRule>
  </conditionalFormatting>
  <conditionalFormatting sqref="Y4:AL35">
    <cfRule type="expression" dxfId="17" priority="10">
      <formula>AND( ISODD( RIGHT( $Y4,1 )), $Z4="Freshman")</formula>
    </cfRule>
    <cfRule type="expression" dxfId="16" priority="11">
      <formula>AND( ISEVEN( RIGHT( $Y4,1 )), $Z4="Freshman")</formula>
    </cfRule>
  </conditionalFormatting>
  <conditionalFormatting sqref="Z4:Z35">
    <cfRule type="expression" dxfId="15" priority="9">
      <formula>AND( $AA4&lt;&gt;"", OR( AB4=$AA4, AC4=$AA4, AD4=$AA4, AE4=$AA4, AF4=$AA4, AG4=$AA4  ))</formula>
    </cfRule>
  </conditionalFormatting>
  <conditionalFormatting sqref="AB4:AL35">
    <cfRule type="expression" dxfId="14" priority="1">
      <formula>AND( $AA4&lt;&gt;"", AB4=$AA4 )</formula>
    </cfRule>
  </conditionalFormatting>
  <hyperlinks>
    <hyperlink ref="A4" location="'D1-MeetResults'!A1" display="1" xr:uid="{00000000-0004-0000-0100-000000000000}"/>
    <hyperlink ref="U5" r:id="rId1" location="gid=1972351897?range=B118" display="about:blank - gid=1972351897?range=B118" xr:uid="{00000000-0004-0000-0100-000001000000}"/>
    <hyperlink ref="U6" r:id="rId2" location="gid=1972351897?range=B228" display="about:blank - gid=1972351897?range=B228" xr:uid="{00000000-0004-0000-0100-000002000000}"/>
    <hyperlink ref="A8" location="'D2-MeetResults'!A1" display="2" xr:uid="{00000000-0004-0000-0100-000003000000}"/>
    <hyperlink ref="U9" r:id="rId3" location="gid=1601928356?range=B118" display="about:blank - gid=1601928356?range=B118" xr:uid="{00000000-0004-0000-0100-000004000000}"/>
    <hyperlink ref="U10" r:id="rId4" location="gid=1601928356?range=B228" display="about:blank - gid=1601928356?range=B228" xr:uid="{00000000-0004-0000-0100-000005000000}"/>
    <hyperlink ref="A12" location="'D3-MeetResults'!A1" display="3" xr:uid="{00000000-0004-0000-0100-000006000000}"/>
    <hyperlink ref="U13" r:id="rId5" location="gid=1618585956?range=B118" display="about:blank - gid=1618585956?range=B118" xr:uid="{00000000-0004-0000-0100-000007000000}"/>
    <hyperlink ref="U14" r:id="rId6" location="gid=1618585956?range=B228" display="about:blank - gid=1618585956?range=B228" xr:uid="{00000000-0004-0000-0100-000008000000}"/>
    <hyperlink ref="A16" location="'D4-MeetResults'!A1" display="4" xr:uid="{00000000-0004-0000-0100-000009000000}"/>
    <hyperlink ref="U17" r:id="rId7" location="gid=177480105?range=B118" display="about:blank - gid=177480105?range=B118" xr:uid="{00000000-0004-0000-0100-00000A000000}"/>
    <hyperlink ref="U18" r:id="rId8" location="gid=177480105?range=B228" display="about:blank - gid=177480105?range=B228" xr:uid="{00000000-0004-0000-0100-00000B000000}"/>
    <hyperlink ref="A20" location="'D5-MeetResults'!A1" display="5" xr:uid="{00000000-0004-0000-0100-00000C000000}"/>
    <hyperlink ref="U21" r:id="rId9" location="gid=236420466?range=B118" display="about:blank - gid=236420466?range=B118" xr:uid="{00000000-0004-0000-0100-00000D000000}"/>
    <hyperlink ref="U22" r:id="rId10" location="gid=236420466?range=B228" display="about:blank - gid=236420466?range=B228" xr:uid="{00000000-0004-0000-0100-00000E000000}"/>
    <hyperlink ref="A24" location="'D6-MeetResults'!A1" display="6" xr:uid="{00000000-0004-0000-0100-00000F000000}"/>
    <hyperlink ref="U25" r:id="rId11" location="gid=973855033?range=B118" display="about:blank - gid=973855033?range=B118" xr:uid="{00000000-0004-0000-0100-000010000000}"/>
    <hyperlink ref="U26" r:id="rId12" location="gid=973855033?range=B228" display="about:blank - gid=973855033?range=B228" xr:uid="{00000000-0004-0000-0100-000011000000}"/>
    <hyperlink ref="A28" location="'D7-MeetResults'!A1" display="7" xr:uid="{00000000-0004-0000-0100-000012000000}"/>
    <hyperlink ref="U29" r:id="rId13" location="gid=664197915?range=B118" display="about:blank - gid=664197915?range=B118" xr:uid="{00000000-0004-0000-0100-000013000000}"/>
    <hyperlink ref="U30" r:id="rId14" location="gid=664197915?range=B228" display="about:blank - gid=664197915?range=B228" xr:uid="{00000000-0004-0000-0100-000014000000}"/>
    <hyperlink ref="A32" location="'D8-MeetResults'!A1" display="8" xr:uid="{00000000-0004-0000-0100-000015000000}"/>
    <hyperlink ref="U33" r:id="rId15" location="gid=1709126409?range=B118" display="about:blank - gid=1709126409?range=B118" xr:uid="{00000000-0004-0000-0100-000016000000}"/>
    <hyperlink ref="U34" r:id="rId16" location="gid=1709126409?range=B228" display="about:blank - gid=1709126409?range=B228" xr:uid="{00000000-0004-0000-0100-000017000000}"/>
  </hyperlinks>
  <pageMargins left="0.7" right="0.7" top="0.75" bottom="0.75" header="0.3" footer="0.3"/>
  <pageSetup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AAAA"/>
    <outlinePr summaryBelow="0" summaryRight="0"/>
  </sheetPr>
  <dimension ref="A1:U330"/>
  <sheetViews>
    <sheetView workbookViewId="0">
      <pane ySplit="5" topLeftCell="A6" activePane="bottomLeft" state="frozen"/>
      <selection pane="bottomLeft" activeCell="C10" sqref="C10:D10"/>
    </sheetView>
  </sheetViews>
  <sheetFormatPr defaultColWidth="12.6640625" defaultRowHeight="15.75" customHeight="1" x14ac:dyDescent="0.25"/>
  <cols>
    <col min="1" max="1" width="3" hidden="1" customWidth="1"/>
    <col min="2" max="2" width="1.44140625" customWidth="1"/>
    <col min="3" max="3" width="3.44140625" customWidth="1"/>
    <col min="4" max="4" width="19.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8.4" customHeight="1" x14ac:dyDescent="0.45">
      <c r="A1" s="42" t="s">
        <v>29</v>
      </c>
      <c r="B1" s="43"/>
      <c r="C1" s="6"/>
      <c r="D1" s="44">
        <v>45461</v>
      </c>
      <c r="E1" s="8"/>
      <c r="F1" s="45" t="s">
        <v>911</v>
      </c>
      <c r="G1" s="9"/>
      <c r="H1" s="8"/>
      <c r="I1" s="10"/>
      <c r="J1" s="10"/>
      <c r="K1" s="10"/>
      <c r="L1" s="10"/>
      <c r="M1" s="10"/>
      <c r="N1" s="10"/>
      <c r="O1" s="10"/>
      <c r="P1" s="10"/>
      <c r="Q1" s="46" t="s">
        <v>1</v>
      </c>
      <c r="R1" s="246">
        <v>1</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50" t="s">
        <v>861</v>
      </c>
      <c r="E3" s="222"/>
      <c r="F3" s="251">
        <v>34</v>
      </c>
      <c r="G3" s="220"/>
      <c r="H3" s="222"/>
      <c r="I3" s="48">
        <v>0</v>
      </c>
      <c r="J3" s="8"/>
      <c r="K3" s="49">
        <v>22</v>
      </c>
      <c r="L3" s="50" t="s">
        <v>11</v>
      </c>
      <c r="M3" s="8"/>
      <c r="N3" s="51">
        <v>29</v>
      </c>
      <c r="O3" s="8"/>
      <c r="P3" s="252" t="s">
        <v>862</v>
      </c>
      <c r="Q3" s="220"/>
      <c r="R3" s="253">
        <v>38</v>
      </c>
      <c r="S3" s="220"/>
      <c r="T3" s="222"/>
      <c r="U3" s="48">
        <v>0</v>
      </c>
    </row>
    <row r="4" spans="1:21" ht="15.6" x14ac:dyDescent="0.3">
      <c r="A4" s="47">
        <v>2</v>
      </c>
      <c r="B4" s="27">
        <v>2</v>
      </c>
      <c r="C4" s="52"/>
      <c r="D4" s="250" t="s">
        <v>864</v>
      </c>
      <c r="E4" s="222"/>
      <c r="F4" s="251">
        <v>23</v>
      </c>
      <c r="G4" s="220"/>
      <c r="H4" s="220"/>
      <c r="I4" s="48">
        <v>0</v>
      </c>
      <c r="J4" s="31"/>
      <c r="K4" s="49">
        <v>28</v>
      </c>
      <c r="L4" s="50" t="s">
        <v>11</v>
      </c>
      <c r="M4" s="31"/>
      <c r="N4" s="51">
        <v>32</v>
      </c>
      <c r="O4" s="53"/>
      <c r="P4" s="252" t="s">
        <v>865</v>
      </c>
      <c r="Q4" s="220"/>
      <c r="R4" s="253">
        <v>49</v>
      </c>
      <c r="S4" s="220"/>
      <c r="T4" s="220"/>
      <c r="U4" s="48">
        <v>0</v>
      </c>
    </row>
    <row r="5" spans="1:21" ht="15.6" x14ac:dyDescent="0.3">
      <c r="A5" s="47">
        <v>3</v>
      </c>
      <c r="B5" s="27">
        <v>3</v>
      </c>
      <c r="C5" s="52"/>
      <c r="D5" s="256" t="s">
        <v>866</v>
      </c>
      <c r="E5" s="228"/>
      <c r="F5" s="251">
        <v>44</v>
      </c>
      <c r="G5" s="220"/>
      <c r="H5" s="222"/>
      <c r="I5" s="48">
        <v>0</v>
      </c>
      <c r="J5" s="31"/>
      <c r="K5" s="49">
        <v>19</v>
      </c>
      <c r="L5" s="50" t="s">
        <v>11</v>
      </c>
      <c r="M5" s="31"/>
      <c r="N5" s="51">
        <v>27</v>
      </c>
      <c r="O5" s="53"/>
      <c r="P5" s="254" t="s">
        <v>867</v>
      </c>
      <c r="Q5" s="227"/>
      <c r="R5" s="255">
        <v>28</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61" t="s">
        <v>915</v>
      </c>
      <c r="C9" s="257" t="s">
        <v>859</v>
      </c>
      <c r="D9" s="222"/>
      <c r="E9" s="258" t="s">
        <v>861</v>
      </c>
      <c r="F9" s="220"/>
      <c r="G9" s="220"/>
      <c r="H9" s="222"/>
      <c r="I9" s="62"/>
      <c r="J9" s="63"/>
      <c r="K9" s="63"/>
      <c r="L9" s="63"/>
      <c r="M9" s="63"/>
      <c r="N9" s="61" t="s">
        <v>916</v>
      </c>
      <c r="O9" s="236" t="s">
        <v>860</v>
      </c>
      <c r="P9" s="222"/>
      <c r="Q9" s="237" t="s">
        <v>862</v>
      </c>
      <c r="R9" s="220"/>
      <c r="S9" s="220"/>
      <c r="T9" s="222"/>
      <c r="U9" s="62"/>
    </row>
    <row r="10" spans="1:21" ht="17.399999999999999" x14ac:dyDescent="0.3">
      <c r="B10" s="65"/>
      <c r="C10" s="243" t="s">
        <v>2</v>
      </c>
      <c r="D10" s="222"/>
      <c r="E10" s="244">
        <v>34</v>
      </c>
      <c r="F10" s="220"/>
      <c r="G10" s="220"/>
      <c r="H10" s="222"/>
      <c r="I10" s="62"/>
      <c r="J10" s="62"/>
      <c r="K10" s="62"/>
      <c r="L10" s="62"/>
      <c r="M10" s="62"/>
      <c r="N10" s="65"/>
      <c r="O10" s="238" t="s">
        <v>2</v>
      </c>
      <c r="P10" s="222"/>
      <c r="Q10" s="239">
        <v>38</v>
      </c>
      <c r="R10" s="220"/>
      <c r="S10" s="220"/>
      <c r="T10" s="222"/>
      <c r="U10" s="62"/>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3</v>
      </c>
      <c r="H13" s="79">
        <v>6</v>
      </c>
      <c r="I13" s="66"/>
      <c r="J13" s="66"/>
      <c r="K13" s="66"/>
      <c r="L13" s="66"/>
      <c r="M13" s="74"/>
      <c r="N13" s="66"/>
      <c r="O13" s="68" t="s">
        <v>921</v>
      </c>
      <c r="P13" s="75" t="s">
        <v>922</v>
      </c>
      <c r="Q13" s="76"/>
      <c r="R13" s="77"/>
      <c r="S13" s="78">
        <v>5</v>
      </c>
      <c r="T13" s="79">
        <v>4</v>
      </c>
      <c r="U13" s="66"/>
    </row>
    <row r="14" spans="1:21" ht="15.75" customHeight="1" x14ac:dyDescent="0.25">
      <c r="A14" s="67"/>
      <c r="B14" s="66"/>
      <c r="C14" s="68" t="s">
        <v>923</v>
      </c>
      <c r="D14" s="75" t="s">
        <v>924</v>
      </c>
      <c r="E14" s="76"/>
      <c r="F14" s="77"/>
      <c r="G14" s="78">
        <v>1</v>
      </c>
      <c r="H14" s="79">
        <v>8</v>
      </c>
      <c r="I14" s="66"/>
      <c r="J14" s="66"/>
      <c r="K14" s="66"/>
      <c r="L14" s="66"/>
      <c r="M14" s="74"/>
      <c r="N14" s="66"/>
      <c r="O14" s="68" t="s">
        <v>925</v>
      </c>
      <c r="P14" s="75" t="s">
        <v>926</v>
      </c>
      <c r="Q14" s="76"/>
      <c r="R14" s="77"/>
      <c r="S14" s="78">
        <v>8</v>
      </c>
      <c r="T14" s="79">
        <v>1</v>
      </c>
      <c r="U14" s="66"/>
    </row>
    <row r="15" spans="1:21" ht="15.75" customHeight="1" x14ac:dyDescent="0.25">
      <c r="A15" s="67"/>
      <c r="B15" s="66"/>
      <c r="C15" s="68" t="s">
        <v>927</v>
      </c>
      <c r="D15" s="75" t="s">
        <v>928</v>
      </c>
      <c r="E15" s="76"/>
      <c r="F15" s="77"/>
      <c r="G15" s="78">
        <v>3</v>
      </c>
      <c r="H15" s="79">
        <v>6</v>
      </c>
      <c r="I15" s="66"/>
      <c r="J15" s="66"/>
      <c r="K15" s="66"/>
      <c r="L15" s="66"/>
      <c r="M15" s="74"/>
      <c r="N15" s="66"/>
      <c r="O15" s="68" t="s">
        <v>929</v>
      </c>
      <c r="P15" s="75" t="s">
        <v>930</v>
      </c>
      <c r="Q15" s="76"/>
      <c r="R15" s="77"/>
      <c r="S15" s="78">
        <v>0</v>
      </c>
      <c r="T15" s="79">
        <v>9</v>
      </c>
      <c r="U15" s="66"/>
    </row>
    <row r="16" spans="1:21" ht="15.75" customHeight="1" x14ac:dyDescent="0.25">
      <c r="A16" s="67"/>
      <c r="B16" s="66"/>
      <c r="C16" s="68" t="s">
        <v>931</v>
      </c>
      <c r="D16" s="75" t="s">
        <v>932</v>
      </c>
      <c r="E16" s="76"/>
      <c r="F16" s="77"/>
      <c r="G16" s="78">
        <v>8</v>
      </c>
      <c r="H16" s="79">
        <v>1</v>
      </c>
      <c r="I16" s="66"/>
      <c r="J16" s="66"/>
      <c r="K16" s="66"/>
      <c r="L16" s="66"/>
      <c r="M16" s="74"/>
      <c r="N16" s="66"/>
      <c r="O16" s="68" t="s">
        <v>933</v>
      </c>
      <c r="P16" s="75" t="s">
        <v>934</v>
      </c>
      <c r="Q16" s="76"/>
      <c r="R16" s="77"/>
      <c r="S16" s="78">
        <v>6</v>
      </c>
      <c r="T16" s="79">
        <v>3</v>
      </c>
      <c r="U16" s="66"/>
    </row>
    <row r="17" spans="1:21" ht="15.75" customHeight="1" x14ac:dyDescent="0.25">
      <c r="A17" s="67"/>
      <c r="B17" s="66"/>
      <c r="C17" s="80"/>
      <c r="D17" s="81" t="s">
        <v>935</v>
      </c>
      <c r="E17" s="82"/>
      <c r="F17" s="83"/>
      <c r="G17" s="72">
        <v>15</v>
      </c>
      <c r="H17" s="73">
        <v>21</v>
      </c>
      <c r="I17" s="66"/>
      <c r="J17" s="66"/>
      <c r="K17" s="66"/>
      <c r="L17" s="66"/>
      <c r="M17" s="74"/>
      <c r="N17" s="66"/>
      <c r="O17" s="80"/>
      <c r="P17" s="81" t="s">
        <v>935</v>
      </c>
      <c r="Q17" s="82"/>
      <c r="R17" s="83"/>
      <c r="S17" s="72">
        <v>19</v>
      </c>
      <c r="T17" s="73">
        <v>17</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88"/>
      <c r="J21" s="89"/>
      <c r="K21" s="89"/>
      <c r="L21" s="89"/>
      <c r="M21" s="90" t="s">
        <v>921</v>
      </c>
      <c r="N21" s="91"/>
      <c r="O21" s="85" t="s">
        <v>936</v>
      </c>
      <c r="P21" s="86" t="s">
        <v>922</v>
      </c>
      <c r="Q21" s="87" t="s">
        <v>2</v>
      </c>
      <c r="R21" s="87" t="s">
        <v>937</v>
      </c>
      <c r="S21" s="87" t="s">
        <v>917</v>
      </c>
      <c r="T21" s="87" t="s">
        <v>918</v>
      </c>
      <c r="U21" s="88"/>
    </row>
    <row r="22" spans="1:21" ht="15.75" customHeight="1" x14ac:dyDescent="0.25">
      <c r="A22" s="67" t="s">
        <v>919</v>
      </c>
      <c r="B22" s="84"/>
      <c r="C22" s="92">
        <v>1</v>
      </c>
      <c r="D22" s="93" t="s">
        <v>938</v>
      </c>
      <c r="E22" s="94" t="s">
        <v>198</v>
      </c>
      <c r="F22" s="92" t="s">
        <v>916</v>
      </c>
      <c r="G22" s="92" t="s">
        <v>29</v>
      </c>
      <c r="H22" s="92">
        <v>5</v>
      </c>
      <c r="I22" s="95" t="s">
        <v>29</v>
      </c>
      <c r="J22" s="89"/>
      <c r="K22" s="89"/>
      <c r="L22" s="89"/>
      <c r="M22" s="96" t="s">
        <v>921</v>
      </c>
      <c r="N22" s="84"/>
      <c r="O22" s="92">
        <v>1</v>
      </c>
      <c r="P22" s="93" t="s">
        <v>939</v>
      </c>
      <c r="Q22" s="94" t="s">
        <v>229</v>
      </c>
      <c r="R22" s="92" t="s">
        <v>915</v>
      </c>
      <c r="S22" s="92">
        <v>5</v>
      </c>
      <c r="T22" s="92" t="s">
        <v>29</v>
      </c>
      <c r="U22" s="95" t="s">
        <v>29</v>
      </c>
    </row>
    <row r="23" spans="1:21" ht="15.75" customHeight="1" x14ac:dyDescent="0.25">
      <c r="A23" s="67" t="s">
        <v>919</v>
      </c>
      <c r="B23" s="84"/>
      <c r="C23" s="92">
        <v>2</v>
      </c>
      <c r="D23" s="93" t="s">
        <v>940</v>
      </c>
      <c r="E23" s="97" t="s">
        <v>226</v>
      </c>
      <c r="F23" s="92" t="s">
        <v>915</v>
      </c>
      <c r="G23" s="92">
        <v>3</v>
      </c>
      <c r="H23" s="92" t="s">
        <v>29</v>
      </c>
      <c r="I23" s="95" t="s">
        <v>29</v>
      </c>
      <c r="J23" s="89"/>
      <c r="K23" s="89"/>
      <c r="L23" s="89"/>
      <c r="M23" s="96" t="s">
        <v>921</v>
      </c>
      <c r="N23" s="84"/>
      <c r="O23" s="92">
        <v>2</v>
      </c>
      <c r="P23" s="93" t="s">
        <v>941</v>
      </c>
      <c r="Q23" s="97" t="s">
        <v>205</v>
      </c>
      <c r="R23" s="92" t="s">
        <v>916</v>
      </c>
      <c r="S23" s="92" t="s">
        <v>29</v>
      </c>
      <c r="T23" s="92">
        <v>3</v>
      </c>
      <c r="U23" s="95" t="s">
        <v>29</v>
      </c>
    </row>
    <row r="24" spans="1:21" ht="15.75" customHeight="1" x14ac:dyDescent="0.25">
      <c r="A24" s="67" t="s">
        <v>919</v>
      </c>
      <c r="B24" s="84"/>
      <c r="C24" s="92">
        <v>3</v>
      </c>
      <c r="D24" s="93" t="s">
        <v>942</v>
      </c>
      <c r="E24" s="97" t="s">
        <v>201</v>
      </c>
      <c r="F24" s="92" t="s">
        <v>916</v>
      </c>
      <c r="G24" s="92" t="s">
        <v>29</v>
      </c>
      <c r="H24" s="92">
        <v>1</v>
      </c>
      <c r="I24" s="95" t="s">
        <v>29</v>
      </c>
      <c r="J24" s="89"/>
      <c r="K24" s="89"/>
      <c r="L24" s="89"/>
      <c r="M24" s="96" t="s">
        <v>921</v>
      </c>
      <c r="N24" s="84"/>
      <c r="O24" s="92">
        <v>3</v>
      </c>
      <c r="P24" s="93" t="s">
        <v>943</v>
      </c>
      <c r="Q24" s="97" t="s">
        <v>204</v>
      </c>
      <c r="R24" s="92" t="s">
        <v>916</v>
      </c>
      <c r="S24" s="92" t="s">
        <v>29</v>
      </c>
      <c r="T24" s="92">
        <v>1</v>
      </c>
      <c r="U24" s="95" t="s">
        <v>29</v>
      </c>
    </row>
    <row r="25" spans="1:21" ht="15.75" customHeight="1" x14ac:dyDescent="0.25">
      <c r="A25" s="67" t="s">
        <v>919</v>
      </c>
      <c r="B25" s="84"/>
      <c r="C25" s="92">
        <v>4</v>
      </c>
      <c r="D25" s="93" t="s">
        <v>944</v>
      </c>
      <c r="E25" s="97" t="s">
        <v>196</v>
      </c>
      <c r="F25" s="92" t="s">
        <v>916</v>
      </c>
      <c r="G25" s="92" t="s">
        <v>29</v>
      </c>
      <c r="H25" s="92" t="s">
        <v>29</v>
      </c>
      <c r="I25" s="95" t="s">
        <v>29</v>
      </c>
      <c r="J25" s="89"/>
      <c r="K25" s="89"/>
      <c r="L25" s="89"/>
      <c r="M25" s="96" t="s">
        <v>921</v>
      </c>
      <c r="N25" s="84"/>
      <c r="O25" s="92">
        <v>4</v>
      </c>
      <c r="P25" s="93" t="s">
        <v>945</v>
      </c>
      <c r="Q25" s="97" t="s">
        <v>203</v>
      </c>
      <c r="R25" s="92" t="s">
        <v>916</v>
      </c>
      <c r="S25" s="92" t="s">
        <v>29</v>
      </c>
      <c r="T25" s="92" t="s">
        <v>29</v>
      </c>
      <c r="U25" s="95" t="s">
        <v>29</v>
      </c>
    </row>
    <row r="26" spans="1:21" ht="15.75" customHeight="1" x14ac:dyDescent="0.25">
      <c r="A26" s="67" t="s">
        <v>919</v>
      </c>
      <c r="B26" s="84"/>
      <c r="C26" s="92">
        <v>5</v>
      </c>
      <c r="D26" s="93" t="s">
        <v>946</v>
      </c>
      <c r="E26" s="97" t="s">
        <v>225</v>
      </c>
      <c r="F26" s="92" t="s">
        <v>915</v>
      </c>
      <c r="G26" s="92" t="s">
        <v>29</v>
      </c>
      <c r="H26" s="92" t="s">
        <v>29</v>
      </c>
      <c r="I26" s="95" t="s">
        <v>29</v>
      </c>
      <c r="J26" s="89"/>
      <c r="K26" s="89"/>
      <c r="L26" s="89"/>
      <c r="M26" s="96" t="s">
        <v>921</v>
      </c>
      <c r="N26" s="84"/>
      <c r="O26" s="92">
        <v>5</v>
      </c>
      <c r="P26" s="93" t="s">
        <v>947</v>
      </c>
      <c r="Q26" s="97" t="s">
        <v>164</v>
      </c>
      <c r="R26" s="92" t="s">
        <v>915</v>
      </c>
      <c r="S26" s="92" t="s">
        <v>29</v>
      </c>
      <c r="T26" s="92" t="s">
        <v>29</v>
      </c>
      <c r="U26" s="95" t="s">
        <v>29</v>
      </c>
    </row>
    <row r="27" spans="1:21" ht="15.75" customHeight="1" x14ac:dyDescent="0.25">
      <c r="A27" s="67" t="s">
        <v>919</v>
      </c>
      <c r="B27" s="84"/>
      <c r="C27" s="92">
        <v>6</v>
      </c>
      <c r="D27" s="93" t="s">
        <v>948</v>
      </c>
      <c r="E27" s="97" t="s">
        <v>197</v>
      </c>
      <c r="F27" s="92" t="s">
        <v>916</v>
      </c>
      <c r="G27" s="92" t="s">
        <v>29</v>
      </c>
      <c r="H27" s="92" t="s">
        <v>29</v>
      </c>
      <c r="I27" s="95" t="s">
        <v>29</v>
      </c>
      <c r="J27" s="89"/>
      <c r="K27" s="89"/>
      <c r="L27" s="89"/>
      <c r="M27" s="96" t="s">
        <v>921</v>
      </c>
      <c r="N27" s="84"/>
      <c r="O27" s="92">
        <v>6</v>
      </c>
      <c r="P27" s="93" t="s">
        <v>949</v>
      </c>
      <c r="Q27" s="97" t="s">
        <v>202</v>
      </c>
      <c r="R27" s="92" t="s">
        <v>916</v>
      </c>
      <c r="S27" s="92" t="s">
        <v>29</v>
      </c>
      <c r="T27" s="92" t="s">
        <v>29</v>
      </c>
      <c r="U27" s="95" t="s">
        <v>29</v>
      </c>
    </row>
    <row r="28" spans="1:21" ht="15.75" customHeight="1" x14ac:dyDescent="0.25">
      <c r="A28" s="67" t="s">
        <v>919</v>
      </c>
      <c r="B28" s="84"/>
      <c r="C28" s="92">
        <v>7</v>
      </c>
      <c r="D28" s="93" t="s">
        <v>950</v>
      </c>
      <c r="E28" s="97" t="s">
        <v>228</v>
      </c>
      <c r="F28" s="92" t="s">
        <v>915</v>
      </c>
      <c r="G28" s="92" t="s">
        <v>29</v>
      </c>
      <c r="H28" s="92" t="s">
        <v>29</v>
      </c>
      <c r="I28" s="95" t="s">
        <v>29</v>
      </c>
      <c r="J28" s="89"/>
      <c r="K28" s="89"/>
      <c r="L28" s="89"/>
      <c r="M28" s="96" t="s">
        <v>29</v>
      </c>
      <c r="N28" s="84"/>
      <c r="O28" s="92" t="s">
        <v>29</v>
      </c>
      <c r="P28" s="93" t="s">
        <v>29</v>
      </c>
      <c r="Q28" s="97" t="s">
        <v>29</v>
      </c>
      <c r="R28" s="92" t="s">
        <v>29</v>
      </c>
      <c r="S28" s="92" t="s">
        <v>29</v>
      </c>
      <c r="T28" s="92" t="s">
        <v>29</v>
      </c>
      <c r="U28" s="95" t="s">
        <v>29</v>
      </c>
    </row>
    <row r="29" spans="1:21" ht="15.75" customHeight="1" x14ac:dyDescent="0.25">
      <c r="A29" s="67" t="s">
        <v>919</v>
      </c>
      <c r="B29" s="84"/>
      <c r="C29" s="92">
        <v>8</v>
      </c>
      <c r="D29" s="98" t="s">
        <v>951</v>
      </c>
      <c r="E29" s="97" t="s">
        <v>199</v>
      </c>
      <c r="F29" s="92" t="s">
        <v>916</v>
      </c>
      <c r="G29" s="92" t="s">
        <v>29</v>
      </c>
      <c r="H29" s="92" t="s">
        <v>29</v>
      </c>
      <c r="I29" s="95" t="s">
        <v>29</v>
      </c>
      <c r="J29" s="89"/>
      <c r="K29" s="89"/>
      <c r="L29" s="89"/>
      <c r="M29" s="96" t="s">
        <v>29</v>
      </c>
      <c r="N29" s="84"/>
      <c r="O29" s="92" t="s">
        <v>29</v>
      </c>
      <c r="P29" s="93" t="s">
        <v>29</v>
      </c>
      <c r="Q29" s="97" t="s">
        <v>29</v>
      </c>
      <c r="R29" s="92" t="s">
        <v>29</v>
      </c>
      <c r="S29" s="92" t="s">
        <v>29</v>
      </c>
      <c r="T29" s="92" t="s">
        <v>29</v>
      </c>
      <c r="U29" s="95" t="s">
        <v>29</v>
      </c>
    </row>
    <row r="30" spans="1:21" ht="15.75" customHeight="1" x14ac:dyDescent="0.25">
      <c r="A30" s="67" t="s">
        <v>919</v>
      </c>
      <c r="B30" s="84"/>
      <c r="C30" s="92">
        <v>9</v>
      </c>
      <c r="D30" s="98" t="s">
        <v>952</v>
      </c>
      <c r="E30" s="97" t="s">
        <v>200</v>
      </c>
      <c r="F30" s="92" t="s">
        <v>916</v>
      </c>
      <c r="G30" s="92" t="s">
        <v>29</v>
      </c>
      <c r="H30" s="92" t="s">
        <v>29</v>
      </c>
      <c r="I30" s="95" t="s">
        <v>29</v>
      </c>
      <c r="J30" s="89"/>
      <c r="K30" s="89"/>
      <c r="L30" s="89"/>
      <c r="M30" s="96" t="s">
        <v>29</v>
      </c>
      <c r="N30" s="84"/>
      <c r="O30" s="92" t="s">
        <v>29</v>
      </c>
      <c r="P30" s="93" t="s">
        <v>29</v>
      </c>
      <c r="Q30" s="97" t="s">
        <v>29</v>
      </c>
      <c r="R30" s="92" t="s">
        <v>29</v>
      </c>
      <c r="S30" s="92" t="s">
        <v>29</v>
      </c>
      <c r="T30" s="92" t="s">
        <v>29</v>
      </c>
      <c r="U30" s="95" t="s">
        <v>29</v>
      </c>
    </row>
    <row r="31" spans="1:21" ht="13.2" x14ac:dyDescent="0.25">
      <c r="A31" s="67" t="s">
        <v>919</v>
      </c>
      <c r="B31" s="84"/>
      <c r="C31" s="92">
        <v>10</v>
      </c>
      <c r="D31" s="98" t="s">
        <v>953</v>
      </c>
      <c r="E31" s="97" t="s">
        <v>227</v>
      </c>
      <c r="F31" s="92" t="s">
        <v>915</v>
      </c>
      <c r="G31" s="92" t="s">
        <v>29</v>
      </c>
      <c r="H31" s="92" t="s">
        <v>29</v>
      </c>
      <c r="I31" s="95" t="s">
        <v>29</v>
      </c>
      <c r="J31" s="89"/>
      <c r="K31" s="89"/>
      <c r="L31" s="89"/>
      <c r="M31" s="96" t="s">
        <v>29</v>
      </c>
      <c r="N31" s="84"/>
      <c r="O31" s="92" t="s">
        <v>29</v>
      </c>
      <c r="P31" s="93" t="s">
        <v>29</v>
      </c>
      <c r="Q31" s="97" t="s">
        <v>29</v>
      </c>
      <c r="R31" s="92" t="s">
        <v>29</v>
      </c>
      <c r="S31" s="92" t="s">
        <v>29</v>
      </c>
      <c r="T31" s="92" t="s">
        <v>29</v>
      </c>
      <c r="U31" s="95" t="s">
        <v>29</v>
      </c>
    </row>
    <row r="32" spans="1:21" ht="13.2" x14ac:dyDescent="0.25">
      <c r="A32" s="67" t="s">
        <v>29</v>
      </c>
      <c r="B32" s="84"/>
      <c r="C32" s="92" t="s">
        <v>29</v>
      </c>
      <c r="D32" s="98" t="s">
        <v>29</v>
      </c>
      <c r="E32" s="97" t="s">
        <v>29</v>
      </c>
      <c r="F32" s="92" t="s">
        <v>29</v>
      </c>
      <c r="G32" s="92" t="s">
        <v>29</v>
      </c>
      <c r="H32" s="92" t="s">
        <v>29</v>
      </c>
      <c r="I32" s="95" t="s">
        <v>29</v>
      </c>
      <c r="J32" s="89"/>
      <c r="K32" s="89"/>
      <c r="L32" s="89"/>
      <c r="M32" s="96" t="s">
        <v>29</v>
      </c>
      <c r="N32" s="84"/>
      <c r="O32" s="92" t="s">
        <v>29</v>
      </c>
      <c r="P32" s="93" t="s">
        <v>29</v>
      </c>
      <c r="Q32" s="97" t="s">
        <v>29</v>
      </c>
      <c r="R32" s="92" t="s">
        <v>29</v>
      </c>
      <c r="S32" s="92" t="s">
        <v>29</v>
      </c>
      <c r="T32" s="92" t="s">
        <v>29</v>
      </c>
      <c r="U32" s="95" t="s">
        <v>29</v>
      </c>
    </row>
    <row r="33" spans="1:21" ht="13.2" x14ac:dyDescent="0.25">
      <c r="A33" s="67" t="s">
        <v>29</v>
      </c>
      <c r="B33" s="84"/>
      <c r="C33" s="92" t="s">
        <v>29</v>
      </c>
      <c r="D33" s="98" t="s">
        <v>29</v>
      </c>
      <c r="E33" s="97" t="s">
        <v>29</v>
      </c>
      <c r="F33" s="92" t="s">
        <v>29</v>
      </c>
      <c r="G33" s="92" t="s">
        <v>29</v>
      </c>
      <c r="H33" s="92" t="s">
        <v>29</v>
      </c>
      <c r="I33" s="95" t="s">
        <v>29</v>
      </c>
      <c r="J33" s="89"/>
      <c r="K33" s="89"/>
      <c r="L33" s="89"/>
      <c r="M33" s="96" t="s">
        <v>29</v>
      </c>
      <c r="N33" s="84"/>
      <c r="O33" s="92" t="s">
        <v>29</v>
      </c>
      <c r="P33" s="98" t="s">
        <v>29</v>
      </c>
      <c r="Q33" s="97" t="s">
        <v>29</v>
      </c>
      <c r="R33" s="92" t="s">
        <v>29</v>
      </c>
      <c r="S33" s="92" t="s">
        <v>29</v>
      </c>
      <c r="T33" s="92" t="s">
        <v>29</v>
      </c>
      <c r="U33" s="95" t="s">
        <v>29</v>
      </c>
    </row>
    <row r="34" spans="1:21" ht="13.2" x14ac:dyDescent="0.25">
      <c r="A34" s="67" t="s">
        <v>29</v>
      </c>
      <c r="B34" s="84"/>
      <c r="C34" s="219" t="s">
        <v>954</v>
      </c>
      <c r="D34" s="220"/>
      <c r="E34" s="220"/>
      <c r="F34" s="220"/>
      <c r="G34" s="99">
        <v>3</v>
      </c>
      <c r="H34" s="99">
        <v>6</v>
      </c>
      <c r="I34" s="95" t="s">
        <v>29</v>
      </c>
      <c r="J34" s="89"/>
      <c r="K34" s="89"/>
      <c r="L34" s="89"/>
      <c r="M34" s="96" t="s">
        <v>29</v>
      </c>
      <c r="N34" s="84"/>
      <c r="O34" s="219" t="s">
        <v>955</v>
      </c>
      <c r="P34" s="220"/>
      <c r="Q34" s="220"/>
      <c r="R34" s="220"/>
      <c r="S34" s="99">
        <v>5</v>
      </c>
      <c r="T34" s="99">
        <v>4</v>
      </c>
      <c r="U34" s="95" t="s">
        <v>29</v>
      </c>
    </row>
    <row r="35" spans="1:21" ht="13.2" x14ac:dyDescent="0.25">
      <c r="A35" s="67" t="s">
        <v>29</v>
      </c>
      <c r="B35" s="89"/>
      <c r="C35" s="89"/>
      <c r="D35" s="89"/>
      <c r="E35" s="89"/>
      <c r="F35" s="89"/>
      <c r="G35" s="89"/>
      <c r="H35" s="89"/>
      <c r="I35" s="100" t="s">
        <v>29</v>
      </c>
      <c r="J35" s="89"/>
      <c r="K35" s="89"/>
      <c r="L35" s="89"/>
      <c r="M35" s="96" t="s">
        <v>29</v>
      </c>
      <c r="N35" s="89"/>
      <c r="O35" s="89"/>
      <c r="P35" s="89"/>
      <c r="Q35" s="89"/>
      <c r="R35" s="89"/>
      <c r="S35" s="89"/>
      <c r="T35" s="89"/>
      <c r="U35" s="100" t="s">
        <v>29</v>
      </c>
    </row>
    <row r="36" spans="1:21" ht="13.2" x14ac:dyDescent="0.25">
      <c r="A36" s="67" t="s">
        <v>29</v>
      </c>
      <c r="B36" s="101"/>
      <c r="C36" s="101"/>
      <c r="D36" s="101"/>
      <c r="E36" s="101"/>
      <c r="F36" s="101"/>
      <c r="G36" s="101"/>
      <c r="H36" s="101"/>
      <c r="I36" s="102" t="s">
        <v>29</v>
      </c>
      <c r="J36" s="89"/>
      <c r="K36" s="89"/>
      <c r="L36" s="89"/>
      <c r="M36" s="96" t="s">
        <v>29</v>
      </c>
      <c r="N36" s="101"/>
      <c r="O36" s="101"/>
      <c r="P36" s="101"/>
      <c r="Q36" s="101"/>
      <c r="R36" s="101"/>
      <c r="S36" s="101"/>
      <c r="T36" s="101"/>
      <c r="U36" s="102" t="s">
        <v>29</v>
      </c>
    </row>
    <row r="37" spans="1:21" ht="13.2" x14ac:dyDescent="0.25">
      <c r="A37" s="67" t="s">
        <v>923</v>
      </c>
      <c r="B37" s="103"/>
      <c r="C37" s="104" t="s">
        <v>936</v>
      </c>
      <c r="D37" s="105" t="s">
        <v>924</v>
      </c>
      <c r="E37" s="106" t="s">
        <v>2</v>
      </c>
      <c r="F37" s="106" t="s">
        <v>937</v>
      </c>
      <c r="G37" s="106" t="s">
        <v>917</v>
      </c>
      <c r="H37" s="106" t="s">
        <v>918</v>
      </c>
      <c r="I37" s="107" t="s">
        <v>29</v>
      </c>
      <c r="J37" s="89"/>
      <c r="K37" s="89"/>
      <c r="L37" s="89"/>
      <c r="M37" s="90" t="s">
        <v>925</v>
      </c>
      <c r="N37" s="108"/>
      <c r="O37" s="109" t="s">
        <v>936</v>
      </c>
      <c r="P37" s="105" t="s">
        <v>926</v>
      </c>
      <c r="Q37" s="106" t="s">
        <v>2</v>
      </c>
      <c r="R37" s="106" t="s">
        <v>937</v>
      </c>
      <c r="S37" s="106" t="s">
        <v>917</v>
      </c>
      <c r="T37" s="106" t="s">
        <v>918</v>
      </c>
      <c r="U37" s="107" t="s">
        <v>29</v>
      </c>
    </row>
    <row r="38" spans="1:21" ht="13.2" x14ac:dyDescent="0.25">
      <c r="A38" s="67" t="s">
        <v>923</v>
      </c>
      <c r="B38" s="108"/>
      <c r="C38" s="92">
        <v>1</v>
      </c>
      <c r="D38" s="93" t="s">
        <v>956</v>
      </c>
      <c r="E38" s="94" t="s">
        <v>217</v>
      </c>
      <c r="F38" s="92" t="s">
        <v>916</v>
      </c>
      <c r="G38" s="92" t="s">
        <v>29</v>
      </c>
      <c r="H38" s="92">
        <v>5</v>
      </c>
      <c r="I38" s="107" t="s">
        <v>29</v>
      </c>
      <c r="J38" s="89"/>
      <c r="K38" s="89"/>
      <c r="L38" s="89"/>
      <c r="M38" s="96" t="s">
        <v>925</v>
      </c>
      <c r="N38" s="108"/>
      <c r="O38" s="92">
        <v>1</v>
      </c>
      <c r="P38" s="93" t="s">
        <v>957</v>
      </c>
      <c r="Q38" s="94" t="s">
        <v>239</v>
      </c>
      <c r="R38" s="92" t="s">
        <v>915</v>
      </c>
      <c r="S38" s="92">
        <v>5</v>
      </c>
      <c r="T38" s="92" t="s">
        <v>29</v>
      </c>
      <c r="U38" s="107" t="s">
        <v>29</v>
      </c>
    </row>
    <row r="39" spans="1:21" ht="13.2" x14ac:dyDescent="0.25">
      <c r="A39" s="67" t="s">
        <v>923</v>
      </c>
      <c r="B39" s="108"/>
      <c r="C39" s="92">
        <v>2</v>
      </c>
      <c r="D39" s="93" t="s">
        <v>958</v>
      </c>
      <c r="E39" s="97" t="s">
        <v>213</v>
      </c>
      <c r="F39" s="92" t="s">
        <v>916</v>
      </c>
      <c r="G39" s="92" t="s">
        <v>29</v>
      </c>
      <c r="H39" s="92">
        <v>3</v>
      </c>
      <c r="I39" s="107" t="s">
        <v>29</v>
      </c>
      <c r="J39" s="89"/>
      <c r="K39" s="89"/>
      <c r="L39" s="89"/>
      <c r="M39" s="96" t="s">
        <v>925</v>
      </c>
      <c r="N39" s="108"/>
      <c r="O39" s="92">
        <v>2</v>
      </c>
      <c r="P39" s="93" t="s">
        <v>959</v>
      </c>
      <c r="Q39" s="97" t="s">
        <v>238</v>
      </c>
      <c r="R39" s="92" t="s">
        <v>915</v>
      </c>
      <c r="S39" s="92">
        <v>3</v>
      </c>
      <c r="T39" s="92" t="s">
        <v>29</v>
      </c>
      <c r="U39" s="107" t="s">
        <v>29</v>
      </c>
    </row>
    <row r="40" spans="1:21" ht="13.2" x14ac:dyDescent="0.25">
      <c r="A40" s="67" t="s">
        <v>923</v>
      </c>
      <c r="B40" s="108"/>
      <c r="C40" s="92">
        <v>3</v>
      </c>
      <c r="D40" s="93" t="s">
        <v>960</v>
      </c>
      <c r="E40" s="97" t="s">
        <v>234</v>
      </c>
      <c r="F40" s="92" t="s">
        <v>915</v>
      </c>
      <c r="G40" s="92">
        <v>1</v>
      </c>
      <c r="H40" s="92" t="s">
        <v>29</v>
      </c>
      <c r="I40" s="107" t="s">
        <v>29</v>
      </c>
      <c r="J40" s="89"/>
      <c r="K40" s="89"/>
      <c r="L40" s="89"/>
      <c r="M40" s="96" t="s">
        <v>925</v>
      </c>
      <c r="N40" s="108"/>
      <c r="O40" s="92">
        <v>3</v>
      </c>
      <c r="P40" s="93" t="s">
        <v>961</v>
      </c>
      <c r="Q40" s="97" t="s">
        <v>218</v>
      </c>
      <c r="R40" s="92" t="s">
        <v>916</v>
      </c>
      <c r="S40" s="92" t="s">
        <v>29</v>
      </c>
      <c r="T40" s="92">
        <v>1</v>
      </c>
      <c r="U40" s="107" t="s">
        <v>29</v>
      </c>
    </row>
    <row r="41" spans="1:21" ht="13.2" x14ac:dyDescent="0.25">
      <c r="A41" s="67" t="s">
        <v>923</v>
      </c>
      <c r="B41" s="108"/>
      <c r="C41" s="92">
        <v>4</v>
      </c>
      <c r="D41" s="93" t="s">
        <v>962</v>
      </c>
      <c r="E41" s="97" t="s">
        <v>235</v>
      </c>
      <c r="F41" s="92" t="s">
        <v>915</v>
      </c>
      <c r="G41" s="92" t="s">
        <v>29</v>
      </c>
      <c r="H41" s="92" t="s">
        <v>29</v>
      </c>
      <c r="I41" s="107" t="s">
        <v>29</v>
      </c>
      <c r="J41" s="89"/>
      <c r="K41" s="89"/>
      <c r="L41" s="89"/>
      <c r="M41" s="96" t="s">
        <v>925</v>
      </c>
      <c r="N41" s="108"/>
      <c r="O41" s="92">
        <v>4</v>
      </c>
      <c r="P41" s="93" t="s">
        <v>963</v>
      </c>
      <c r="Q41" s="97" t="s">
        <v>236</v>
      </c>
      <c r="R41" s="92" t="s">
        <v>915</v>
      </c>
      <c r="S41" s="92" t="s">
        <v>29</v>
      </c>
      <c r="T41" s="92" t="s">
        <v>29</v>
      </c>
      <c r="U41" s="107" t="s">
        <v>29</v>
      </c>
    </row>
    <row r="42" spans="1:21" ht="13.2" x14ac:dyDescent="0.25">
      <c r="A42" s="67" t="s">
        <v>923</v>
      </c>
      <c r="B42" s="108"/>
      <c r="C42" s="92">
        <v>5</v>
      </c>
      <c r="D42" s="93" t="s">
        <v>964</v>
      </c>
      <c r="E42" s="97" t="s">
        <v>214</v>
      </c>
      <c r="F42" s="92" t="s">
        <v>916</v>
      </c>
      <c r="G42" s="92" t="s">
        <v>29</v>
      </c>
      <c r="H42" s="92" t="s">
        <v>29</v>
      </c>
      <c r="I42" s="107" t="s">
        <v>29</v>
      </c>
      <c r="J42" s="89"/>
      <c r="K42" s="89"/>
      <c r="L42" s="89"/>
      <c r="M42" s="96" t="s">
        <v>925</v>
      </c>
      <c r="N42" s="108"/>
      <c r="O42" s="92">
        <v>5</v>
      </c>
      <c r="P42" s="93" t="s">
        <v>965</v>
      </c>
      <c r="Q42" s="97" t="s">
        <v>220</v>
      </c>
      <c r="R42" s="92" t="s">
        <v>916</v>
      </c>
      <c r="S42" s="92" t="s">
        <v>29</v>
      </c>
      <c r="T42" s="92" t="s">
        <v>29</v>
      </c>
      <c r="U42" s="107" t="s">
        <v>29</v>
      </c>
    </row>
    <row r="43" spans="1:21" ht="13.2" x14ac:dyDescent="0.25">
      <c r="A43" s="67" t="s">
        <v>923</v>
      </c>
      <c r="B43" s="108"/>
      <c r="C43" s="92">
        <v>6</v>
      </c>
      <c r="D43" s="93" t="s">
        <v>966</v>
      </c>
      <c r="E43" s="97" t="s">
        <v>233</v>
      </c>
      <c r="F43" s="92" t="s">
        <v>915</v>
      </c>
      <c r="G43" s="92" t="s">
        <v>29</v>
      </c>
      <c r="H43" s="92" t="s">
        <v>29</v>
      </c>
      <c r="I43" s="107" t="s">
        <v>29</v>
      </c>
      <c r="J43" s="89"/>
      <c r="K43" s="89"/>
      <c r="L43" s="89"/>
      <c r="M43" s="96" t="s">
        <v>925</v>
      </c>
      <c r="N43" s="108"/>
      <c r="O43" s="92">
        <v>6</v>
      </c>
      <c r="P43" s="93" t="s">
        <v>967</v>
      </c>
      <c r="Q43" s="97" t="s">
        <v>221</v>
      </c>
      <c r="R43" s="92" t="s">
        <v>916</v>
      </c>
      <c r="S43" s="92" t="s">
        <v>29</v>
      </c>
      <c r="T43" s="92" t="s">
        <v>29</v>
      </c>
      <c r="U43" s="107" t="s">
        <v>29</v>
      </c>
    </row>
    <row r="44" spans="1:21" ht="13.2" x14ac:dyDescent="0.25">
      <c r="A44" s="67" t="s">
        <v>923</v>
      </c>
      <c r="B44" s="108"/>
      <c r="C44" s="92">
        <v>7</v>
      </c>
      <c r="D44" s="93" t="s">
        <v>968</v>
      </c>
      <c r="E44" s="97" t="s">
        <v>215</v>
      </c>
      <c r="F44" s="92" t="s">
        <v>916</v>
      </c>
      <c r="G44" s="92" t="s">
        <v>29</v>
      </c>
      <c r="H44" s="92" t="s">
        <v>29</v>
      </c>
      <c r="I44" s="107" t="s">
        <v>29</v>
      </c>
      <c r="J44" s="89"/>
      <c r="K44" s="89"/>
      <c r="L44" s="89"/>
      <c r="M44" s="96" t="s">
        <v>925</v>
      </c>
      <c r="N44" s="108"/>
      <c r="O44" s="92">
        <v>7</v>
      </c>
      <c r="P44" s="93" t="s">
        <v>969</v>
      </c>
      <c r="Q44" s="97" t="s">
        <v>237</v>
      </c>
      <c r="R44" s="92" t="s">
        <v>915</v>
      </c>
      <c r="S44" s="92" t="s">
        <v>29</v>
      </c>
      <c r="T44" s="92" t="s">
        <v>29</v>
      </c>
      <c r="U44" s="107" t="s">
        <v>29</v>
      </c>
    </row>
    <row r="45" spans="1:21" ht="13.2" x14ac:dyDescent="0.25">
      <c r="A45" s="67" t="s">
        <v>29</v>
      </c>
      <c r="B45" s="108"/>
      <c r="C45" s="92" t="s">
        <v>29</v>
      </c>
      <c r="D45" s="93" t="s">
        <v>29</v>
      </c>
      <c r="E45" s="97" t="s">
        <v>29</v>
      </c>
      <c r="F45" s="92" t="s">
        <v>29</v>
      </c>
      <c r="G45" s="92" t="s">
        <v>29</v>
      </c>
      <c r="H45" s="92" t="s">
        <v>29</v>
      </c>
      <c r="I45" s="107" t="s">
        <v>29</v>
      </c>
      <c r="J45" s="89"/>
      <c r="K45" s="89"/>
      <c r="L45" s="89"/>
      <c r="M45" s="96" t="s">
        <v>925</v>
      </c>
      <c r="N45" s="108"/>
      <c r="O45" s="92">
        <v>8</v>
      </c>
      <c r="P45" s="93" t="s">
        <v>970</v>
      </c>
      <c r="Q45" s="97" t="s">
        <v>219</v>
      </c>
      <c r="R45" s="92" t="s">
        <v>916</v>
      </c>
      <c r="S45" s="92" t="s">
        <v>29</v>
      </c>
      <c r="T45" s="92" t="s">
        <v>29</v>
      </c>
      <c r="U45" s="107" t="s">
        <v>29</v>
      </c>
    </row>
    <row r="46" spans="1:21" ht="13.2" x14ac:dyDescent="0.25">
      <c r="A46" s="67" t="s">
        <v>29</v>
      </c>
      <c r="B46" s="108"/>
      <c r="C46" s="92" t="s">
        <v>29</v>
      </c>
      <c r="D46" s="98" t="s">
        <v>29</v>
      </c>
      <c r="E46" s="97" t="s">
        <v>29</v>
      </c>
      <c r="F46" s="92" t="s">
        <v>29</v>
      </c>
      <c r="G46" s="92" t="s">
        <v>29</v>
      </c>
      <c r="H46" s="92" t="s">
        <v>29</v>
      </c>
      <c r="I46" s="107" t="s">
        <v>29</v>
      </c>
      <c r="J46" s="89"/>
      <c r="K46" s="89"/>
      <c r="L46" s="89"/>
      <c r="M46" s="96" t="s">
        <v>29</v>
      </c>
      <c r="N46" s="108"/>
      <c r="O46" s="92" t="s">
        <v>29</v>
      </c>
      <c r="P46" s="98"/>
      <c r="Q46" s="110"/>
      <c r="R46" s="92"/>
      <c r="S46" s="92" t="s">
        <v>29</v>
      </c>
      <c r="T46" s="92" t="s">
        <v>29</v>
      </c>
      <c r="U46" s="107" t="s">
        <v>29</v>
      </c>
    </row>
    <row r="47" spans="1:21" ht="13.2" x14ac:dyDescent="0.25">
      <c r="A47" s="67" t="s">
        <v>29</v>
      </c>
      <c r="B47" s="108"/>
      <c r="C47" s="219" t="s">
        <v>971</v>
      </c>
      <c r="D47" s="220"/>
      <c r="E47" s="220"/>
      <c r="F47" s="222"/>
      <c r="G47" s="99">
        <v>1</v>
      </c>
      <c r="H47" s="99">
        <v>8</v>
      </c>
      <c r="I47" s="107" t="s">
        <v>29</v>
      </c>
      <c r="J47" s="89"/>
      <c r="K47" s="89"/>
      <c r="L47" s="89"/>
      <c r="M47" s="96" t="s">
        <v>29</v>
      </c>
      <c r="N47" s="108"/>
      <c r="O47" s="219" t="s">
        <v>972</v>
      </c>
      <c r="P47" s="220"/>
      <c r="Q47" s="220"/>
      <c r="R47" s="222"/>
      <c r="S47" s="99">
        <v>8</v>
      </c>
      <c r="T47" s="99">
        <v>1</v>
      </c>
      <c r="U47" s="107" t="s">
        <v>29</v>
      </c>
    </row>
    <row r="48" spans="1:21" ht="13.2" x14ac:dyDescent="0.25">
      <c r="A48" s="67" t="s">
        <v>29</v>
      </c>
      <c r="B48" s="89"/>
      <c r="C48" s="89"/>
      <c r="D48" s="89"/>
      <c r="E48" s="89"/>
      <c r="F48" s="89"/>
      <c r="G48" s="89"/>
      <c r="H48" s="89"/>
      <c r="I48" s="100" t="s">
        <v>29</v>
      </c>
      <c r="J48" s="89"/>
      <c r="K48" s="89"/>
      <c r="L48" s="89"/>
      <c r="M48" s="96" t="s">
        <v>29</v>
      </c>
      <c r="N48" s="89"/>
      <c r="O48" s="89"/>
      <c r="P48" s="89"/>
      <c r="Q48" s="89"/>
      <c r="R48" s="89"/>
      <c r="S48" s="89"/>
      <c r="T48" s="89"/>
      <c r="U48" s="100" t="s">
        <v>29</v>
      </c>
    </row>
    <row r="49" spans="1:21" ht="13.2" x14ac:dyDescent="0.25">
      <c r="A49" s="67" t="s">
        <v>29</v>
      </c>
      <c r="B49" s="101"/>
      <c r="C49" s="101"/>
      <c r="D49" s="101"/>
      <c r="E49" s="101"/>
      <c r="F49" s="101"/>
      <c r="G49" s="101"/>
      <c r="H49" s="101"/>
      <c r="I49" s="102" t="s">
        <v>29</v>
      </c>
      <c r="J49" s="89"/>
      <c r="K49" s="89"/>
      <c r="L49" s="89"/>
      <c r="M49" s="96" t="s">
        <v>29</v>
      </c>
      <c r="N49" s="101"/>
      <c r="O49" s="101"/>
      <c r="P49" s="101"/>
      <c r="Q49" s="101"/>
      <c r="R49" s="101"/>
      <c r="S49" s="101"/>
      <c r="T49" s="101"/>
      <c r="U49" s="102" t="s">
        <v>29</v>
      </c>
    </row>
    <row r="50" spans="1:21" ht="13.2" x14ac:dyDescent="0.25">
      <c r="A50" s="67" t="s">
        <v>927</v>
      </c>
      <c r="B50" s="111"/>
      <c r="C50" s="112" t="s">
        <v>936</v>
      </c>
      <c r="D50" s="113" t="s">
        <v>928</v>
      </c>
      <c r="E50" s="114" t="s">
        <v>2</v>
      </c>
      <c r="F50" s="114" t="s">
        <v>937</v>
      </c>
      <c r="G50" s="114" t="s">
        <v>917</v>
      </c>
      <c r="H50" s="114" t="s">
        <v>918</v>
      </c>
      <c r="I50" s="95" t="s">
        <v>29</v>
      </c>
      <c r="J50" s="89"/>
      <c r="K50" s="89"/>
      <c r="L50" s="89"/>
      <c r="M50" s="90" t="s">
        <v>929</v>
      </c>
      <c r="N50" s="115"/>
      <c r="O50" s="112" t="s">
        <v>936</v>
      </c>
      <c r="P50" s="113" t="s">
        <v>930</v>
      </c>
      <c r="Q50" s="114" t="s">
        <v>2</v>
      </c>
      <c r="R50" s="114" t="s">
        <v>937</v>
      </c>
      <c r="S50" s="114" t="s">
        <v>917</v>
      </c>
      <c r="T50" s="114" t="s">
        <v>918</v>
      </c>
      <c r="U50" s="95" t="s">
        <v>29</v>
      </c>
    </row>
    <row r="51" spans="1:21" ht="13.2" x14ac:dyDescent="0.25">
      <c r="A51" s="67" t="s">
        <v>927</v>
      </c>
      <c r="B51" s="84"/>
      <c r="C51" s="92">
        <v>1</v>
      </c>
      <c r="D51" s="93" t="s">
        <v>973</v>
      </c>
      <c r="E51" s="94" t="s">
        <v>216</v>
      </c>
      <c r="F51" s="92" t="s">
        <v>916</v>
      </c>
      <c r="G51" s="92" t="s">
        <v>29</v>
      </c>
      <c r="H51" s="92">
        <v>5</v>
      </c>
      <c r="I51" s="95" t="s">
        <v>64</v>
      </c>
      <c r="J51" s="89"/>
      <c r="K51" s="89"/>
      <c r="L51" s="89"/>
      <c r="M51" s="96" t="s">
        <v>929</v>
      </c>
      <c r="N51" s="84"/>
      <c r="O51" s="92">
        <v>1</v>
      </c>
      <c r="P51" s="93" t="s">
        <v>974</v>
      </c>
      <c r="Q51" s="94" t="s">
        <v>207</v>
      </c>
      <c r="R51" s="92" t="s">
        <v>916</v>
      </c>
      <c r="S51" s="92" t="s">
        <v>29</v>
      </c>
      <c r="T51" s="92">
        <v>5</v>
      </c>
      <c r="U51" s="95" t="s">
        <v>29</v>
      </c>
    </row>
    <row r="52" spans="1:21" ht="13.2" x14ac:dyDescent="0.25">
      <c r="A52" s="67" t="s">
        <v>927</v>
      </c>
      <c r="B52" s="84"/>
      <c r="C52" s="92">
        <v>2</v>
      </c>
      <c r="D52" s="93" t="s">
        <v>975</v>
      </c>
      <c r="E52" s="97" t="s">
        <v>230</v>
      </c>
      <c r="F52" s="92" t="s">
        <v>915</v>
      </c>
      <c r="G52" s="92">
        <v>3</v>
      </c>
      <c r="H52" s="92" t="s">
        <v>29</v>
      </c>
      <c r="I52" s="95" t="s">
        <v>29</v>
      </c>
      <c r="J52" s="89"/>
      <c r="K52" s="89"/>
      <c r="L52" s="89"/>
      <c r="M52" s="96" t="s">
        <v>929</v>
      </c>
      <c r="N52" s="84"/>
      <c r="O52" s="92">
        <v>2</v>
      </c>
      <c r="P52" s="93" t="s">
        <v>976</v>
      </c>
      <c r="Q52" s="97" t="s">
        <v>211</v>
      </c>
      <c r="R52" s="92" t="s">
        <v>916</v>
      </c>
      <c r="S52" s="92" t="s">
        <v>29</v>
      </c>
      <c r="T52" s="92">
        <v>3</v>
      </c>
      <c r="U52" s="95" t="s">
        <v>29</v>
      </c>
    </row>
    <row r="53" spans="1:21" ht="13.2" x14ac:dyDescent="0.25">
      <c r="A53" s="67" t="s">
        <v>927</v>
      </c>
      <c r="B53" s="84"/>
      <c r="C53" s="92">
        <v>3</v>
      </c>
      <c r="D53" s="93" t="s">
        <v>977</v>
      </c>
      <c r="E53" s="97" t="s">
        <v>206</v>
      </c>
      <c r="F53" s="92" t="s">
        <v>916</v>
      </c>
      <c r="G53" s="92" t="s">
        <v>29</v>
      </c>
      <c r="H53" s="92">
        <v>1</v>
      </c>
      <c r="I53" s="95" t="s">
        <v>29</v>
      </c>
      <c r="J53" s="89"/>
      <c r="K53" s="89"/>
      <c r="L53" s="89"/>
      <c r="M53" s="96" t="s">
        <v>929</v>
      </c>
      <c r="N53" s="84"/>
      <c r="O53" s="92">
        <v>3</v>
      </c>
      <c r="P53" s="93" t="s">
        <v>978</v>
      </c>
      <c r="Q53" s="97" t="s">
        <v>208</v>
      </c>
      <c r="R53" s="92" t="s">
        <v>916</v>
      </c>
      <c r="S53" s="92" t="s">
        <v>29</v>
      </c>
      <c r="T53" s="92">
        <v>1</v>
      </c>
      <c r="U53" s="95" t="s">
        <v>29</v>
      </c>
    </row>
    <row r="54" spans="1:21" ht="13.2" x14ac:dyDescent="0.25">
      <c r="A54" s="67" t="s">
        <v>927</v>
      </c>
      <c r="B54" s="84"/>
      <c r="C54" s="92">
        <v>4</v>
      </c>
      <c r="D54" s="93" t="s">
        <v>979</v>
      </c>
      <c r="E54" s="97" t="s">
        <v>231</v>
      </c>
      <c r="F54" s="92" t="s">
        <v>915</v>
      </c>
      <c r="G54" s="92" t="s">
        <v>29</v>
      </c>
      <c r="H54" s="92" t="s">
        <v>29</v>
      </c>
      <c r="I54" s="95" t="s">
        <v>29</v>
      </c>
      <c r="J54" s="89"/>
      <c r="K54" s="89"/>
      <c r="L54" s="89"/>
      <c r="M54" s="96" t="s">
        <v>929</v>
      </c>
      <c r="N54" s="84"/>
      <c r="O54" s="92">
        <v>4</v>
      </c>
      <c r="P54" s="93" t="s">
        <v>980</v>
      </c>
      <c r="Q54" s="97" t="s">
        <v>209</v>
      </c>
      <c r="R54" s="92" t="s">
        <v>916</v>
      </c>
      <c r="S54" s="92" t="s">
        <v>29</v>
      </c>
      <c r="T54" s="92" t="s">
        <v>29</v>
      </c>
      <c r="U54" s="95" t="s">
        <v>29</v>
      </c>
    </row>
    <row r="55" spans="1:21" ht="13.2" x14ac:dyDescent="0.25">
      <c r="A55" s="67" t="s">
        <v>29</v>
      </c>
      <c r="B55" s="84"/>
      <c r="C55" s="92" t="s">
        <v>29</v>
      </c>
      <c r="D55" s="93" t="s">
        <v>29</v>
      </c>
      <c r="E55" s="97" t="s">
        <v>29</v>
      </c>
      <c r="F55" s="92" t="s">
        <v>29</v>
      </c>
      <c r="G55" s="92" t="s">
        <v>29</v>
      </c>
      <c r="H55" s="92" t="s">
        <v>29</v>
      </c>
      <c r="I55" s="95" t="s">
        <v>29</v>
      </c>
      <c r="J55" s="89"/>
      <c r="K55" s="89"/>
      <c r="L55" s="89"/>
      <c r="M55" s="96" t="s">
        <v>929</v>
      </c>
      <c r="N55" s="84"/>
      <c r="O55" s="92">
        <v>5</v>
      </c>
      <c r="P55" s="93" t="s">
        <v>981</v>
      </c>
      <c r="Q55" s="97" t="s">
        <v>212</v>
      </c>
      <c r="R55" s="92" t="s">
        <v>916</v>
      </c>
      <c r="S55" s="92" t="s">
        <v>29</v>
      </c>
      <c r="T55" s="92" t="s">
        <v>29</v>
      </c>
      <c r="U55" s="95" t="s">
        <v>29</v>
      </c>
    </row>
    <row r="56" spans="1:21" ht="13.2" x14ac:dyDescent="0.25">
      <c r="A56" s="67" t="s">
        <v>29</v>
      </c>
      <c r="B56" s="84"/>
      <c r="C56" s="92" t="s">
        <v>29</v>
      </c>
      <c r="D56" s="93" t="s">
        <v>29</v>
      </c>
      <c r="E56" s="97" t="s">
        <v>29</v>
      </c>
      <c r="F56" s="92" t="s">
        <v>29</v>
      </c>
      <c r="G56" s="92" t="s">
        <v>29</v>
      </c>
      <c r="H56" s="92" t="s">
        <v>29</v>
      </c>
      <c r="I56" s="95" t="s">
        <v>29</v>
      </c>
      <c r="J56" s="89"/>
      <c r="K56" s="89"/>
      <c r="L56" s="89"/>
      <c r="M56" s="96" t="s">
        <v>929</v>
      </c>
      <c r="N56" s="84"/>
      <c r="O56" s="92">
        <v>6</v>
      </c>
      <c r="P56" s="93" t="s">
        <v>982</v>
      </c>
      <c r="Q56" s="97" t="s">
        <v>210</v>
      </c>
      <c r="R56" s="92" t="s">
        <v>916</v>
      </c>
      <c r="S56" s="92" t="s">
        <v>29</v>
      </c>
      <c r="T56" s="92" t="s">
        <v>29</v>
      </c>
      <c r="U56" s="95" t="s">
        <v>29</v>
      </c>
    </row>
    <row r="57" spans="1:21" ht="13.2" x14ac:dyDescent="0.25">
      <c r="A57" s="67" t="s">
        <v>29</v>
      </c>
      <c r="B57" s="84"/>
      <c r="C57" s="92" t="s">
        <v>29</v>
      </c>
      <c r="D57" s="93" t="s">
        <v>29</v>
      </c>
      <c r="E57" s="97" t="s">
        <v>29</v>
      </c>
      <c r="F57" s="92" t="s">
        <v>29</v>
      </c>
      <c r="G57" s="92" t="s">
        <v>29</v>
      </c>
      <c r="H57" s="92" t="s">
        <v>29</v>
      </c>
      <c r="I57" s="95" t="s">
        <v>29</v>
      </c>
      <c r="J57" s="89"/>
      <c r="K57" s="89"/>
      <c r="L57" s="89"/>
      <c r="M57" s="96" t="s">
        <v>929</v>
      </c>
      <c r="N57" s="84"/>
      <c r="O57" s="92">
        <v>7</v>
      </c>
      <c r="P57" s="93" t="s">
        <v>983</v>
      </c>
      <c r="Q57" s="97" t="s">
        <v>232</v>
      </c>
      <c r="R57" s="92" t="s">
        <v>915</v>
      </c>
      <c r="S57" s="92" t="s">
        <v>29</v>
      </c>
      <c r="T57" s="92" t="s">
        <v>29</v>
      </c>
      <c r="U57" s="95" t="s">
        <v>29</v>
      </c>
    </row>
    <row r="58" spans="1:21" ht="13.2" x14ac:dyDescent="0.25">
      <c r="A58" s="67" t="s">
        <v>29</v>
      </c>
      <c r="B58" s="84"/>
      <c r="C58" s="92" t="s">
        <v>29</v>
      </c>
      <c r="D58" s="93" t="s">
        <v>29</v>
      </c>
      <c r="E58" s="97" t="s">
        <v>29</v>
      </c>
      <c r="F58" s="92" t="s">
        <v>29</v>
      </c>
      <c r="G58" s="92" t="s">
        <v>29</v>
      </c>
      <c r="H58" s="92" t="s">
        <v>29</v>
      </c>
      <c r="I58" s="95" t="s">
        <v>29</v>
      </c>
      <c r="J58" s="89"/>
      <c r="K58" s="89"/>
      <c r="L58" s="89"/>
      <c r="M58" s="96" t="s">
        <v>29</v>
      </c>
      <c r="N58" s="84"/>
      <c r="O58" s="92" t="s">
        <v>29</v>
      </c>
      <c r="P58" s="93" t="s">
        <v>29</v>
      </c>
      <c r="Q58" s="97" t="s">
        <v>29</v>
      </c>
      <c r="R58" s="92" t="s">
        <v>29</v>
      </c>
      <c r="S58" s="92" t="s">
        <v>29</v>
      </c>
      <c r="T58" s="92" t="s">
        <v>29</v>
      </c>
      <c r="U58" s="95" t="s">
        <v>29</v>
      </c>
    </row>
    <row r="59" spans="1:21" ht="13.2" x14ac:dyDescent="0.25">
      <c r="A59" s="67" t="s">
        <v>29</v>
      </c>
      <c r="B59" s="84"/>
      <c r="C59" s="92" t="s">
        <v>29</v>
      </c>
      <c r="D59" s="93" t="s">
        <v>29</v>
      </c>
      <c r="E59" s="97" t="s">
        <v>29</v>
      </c>
      <c r="F59" s="92" t="s">
        <v>29</v>
      </c>
      <c r="G59" s="92" t="s">
        <v>29</v>
      </c>
      <c r="H59" s="92" t="s">
        <v>29</v>
      </c>
      <c r="I59" s="95" t="s">
        <v>29</v>
      </c>
      <c r="J59" s="89"/>
      <c r="K59" s="89"/>
      <c r="L59" s="89"/>
      <c r="M59" s="96" t="s">
        <v>29</v>
      </c>
      <c r="N59" s="84"/>
      <c r="O59" s="92" t="s">
        <v>29</v>
      </c>
      <c r="P59" s="93" t="s">
        <v>29</v>
      </c>
      <c r="Q59" s="97" t="s">
        <v>29</v>
      </c>
      <c r="R59" s="92" t="s">
        <v>29</v>
      </c>
      <c r="S59" s="92" t="s">
        <v>29</v>
      </c>
      <c r="T59" s="92" t="s">
        <v>29</v>
      </c>
      <c r="U59" s="95" t="s">
        <v>29</v>
      </c>
    </row>
    <row r="60" spans="1:21" ht="13.2" x14ac:dyDescent="0.25">
      <c r="A60" s="67" t="s">
        <v>29</v>
      </c>
      <c r="B60" s="84"/>
      <c r="C60" s="92" t="s">
        <v>29</v>
      </c>
      <c r="D60" s="93" t="s">
        <v>29</v>
      </c>
      <c r="E60" s="97" t="s">
        <v>29</v>
      </c>
      <c r="F60" s="92" t="s">
        <v>29</v>
      </c>
      <c r="G60" s="92" t="s">
        <v>29</v>
      </c>
      <c r="H60" s="92" t="s">
        <v>29</v>
      </c>
      <c r="I60" s="95" t="s">
        <v>29</v>
      </c>
      <c r="J60" s="89"/>
      <c r="K60" s="89"/>
      <c r="L60" s="89"/>
      <c r="M60" s="96" t="s">
        <v>29</v>
      </c>
      <c r="N60" s="84"/>
      <c r="O60" s="92" t="s">
        <v>29</v>
      </c>
      <c r="P60" s="93" t="s">
        <v>29</v>
      </c>
      <c r="Q60" s="97" t="s">
        <v>29</v>
      </c>
      <c r="R60" s="92" t="s">
        <v>29</v>
      </c>
      <c r="S60" s="92" t="s">
        <v>29</v>
      </c>
      <c r="T60" s="92" t="s">
        <v>29</v>
      </c>
      <c r="U60" s="95" t="s">
        <v>29</v>
      </c>
    </row>
    <row r="61" spans="1:21" ht="13.2" x14ac:dyDescent="0.25">
      <c r="A61" s="67"/>
      <c r="B61" s="84"/>
      <c r="C61" s="92" t="s">
        <v>29</v>
      </c>
      <c r="D61" s="93" t="s">
        <v>29</v>
      </c>
      <c r="E61" s="97" t="s">
        <v>29</v>
      </c>
      <c r="F61" s="92" t="s">
        <v>29</v>
      </c>
      <c r="G61" s="92" t="s">
        <v>29</v>
      </c>
      <c r="H61" s="92" t="s">
        <v>29</v>
      </c>
      <c r="I61" s="95" t="s">
        <v>29</v>
      </c>
      <c r="J61" s="89"/>
      <c r="K61" s="89"/>
      <c r="L61" s="89"/>
      <c r="M61" s="96"/>
      <c r="N61" s="84"/>
      <c r="O61" s="92" t="s">
        <v>29</v>
      </c>
      <c r="P61" s="93" t="s">
        <v>29</v>
      </c>
      <c r="Q61" s="97" t="s">
        <v>29</v>
      </c>
      <c r="R61" s="92" t="s">
        <v>29</v>
      </c>
      <c r="S61" s="92" t="s">
        <v>29</v>
      </c>
      <c r="T61" s="92" t="s">
        <v>29</v>
      </c>
      <c r="U61" s="95" t="s">
        <v>29</v>
      </c>
    </row>
    <row r="62" spans="1:21" ht="13.2" x14ac:dyDescent="0.25">
      <c r="A62" s="67"/>
      <c r="B62" s="84"/>
      <c r="C62" s="92" t="s">
        <v>29</v>
      </c>
      <c r="D62" s="93" t="s">
        <v>29</v>
      </c>
      <c r="E62" s="97" t="s">
        <v>29</v>
      </c>
      <c r="F62" s="92" t="s">
        <v>29</v>
      </c>
      <c r="G62" s="92" t="s">
        <v>29</v>
      </c>
      <c r="H62" s="92" t="s">
        <v>29</v>
      </c>
      <c r="I62" s="95" t="s">
        <v>29</v>
      </c>
      <c r="J62" s="89"/>
      <c r="K62" s="89"/>
      <c r="L62" s="89"/>
      <c r="M62" s="96"/>
      <c r="N62" s="84"/>
      <c r="O62" s="92" t="s">
        <v>29</v>
      </c>
      <c r="P62" s="93" t="s">
        <v>29</v>
      </c>
      <c r="Q62" s="97" t="s">
        <v>29</v>
      </c>
      <c r="R62" s="92" t="s">
        <v>29</v>
      </c>
      <c r="S62" s="92" t="s">
        <v>29</v>
      </c>
      <c r="T62" s="92" t="s">
        <v>29</v>
      </c>
      <c r="U62" s="95" t="s">
        <v>29</v>
      </c>
    </row>
    <row r="63" spans="1:21" ht="13.2" x14ac:dyDescent="0.25">
      <c r="A63" s="67"/>
      <c r="B63" s="84"/>
      <c r="C63" s="92" t="s">
        <v>29</v>
      </c>
      <c r="D63" s="98" t="s">
        <v>29</v>
      </c>
      <c r="E63" s="97" t="s">
        <v>29</v>
      </c>
      <c r="F63" s="92" t="s">
        <v>29</v>
      </c>
      <c r="G63" s="92" t="s">
        <v>29</v>
      </c>
      <c r="H63" s="92" t="s">
        <v>29</v>
      </c>
      <c r="I63" s="95" t="s">
        <v>29</v>
      </c>
      <c r="J63" s="89"/>
      <c r="K63" s="89"/>
      <c r="L63" s="89"/>
      <c r="M63" s="96"/>
      <c r="N63" s="84"/>
      <c r="O63" s="92" t="s">
        <v>29</v>
      </c>
      <c r="P63" s="98" t="s">
        <v>29</v>
      </c>
      <c r="Q63" s="97" t="s">
        <v>29</v>
      </c>
      <c r="R63" s="92" t="s">
        <v>29</v>
      </c>
      <c r="S63" s="92" t="s">
        <v>29</v>
      </c>
      <c r="T63" s="92" t="s">
        <v>29</v>
      </c>
      <c r="U63" s="95" t="s">
        <v>29</v>
      </c>
    </row>
    <row r="64" spans="1:21" ht="13.2" x14ac:dyDescent="0.25">
      <c r="A64" s="67"/>
      <c r="B64" s="84"/>
      <c r="C64" s="92" t="s">
        <v>29</v>
      </c>
      <c r="D64" s="98" t="s">
        <v>29</v>
      </c>
      <c r="E64" s="97" t="s">
        <v>29</v>
      </c>
      <c r="F64" s="92" t="s">
        <v>29</v>
      </c>
      <c r="G64" s="92" t="s">
        <v>29</v>
      </c>
      <c r="H64" s="92" t="s">
        <v>29</v>
      </c>
      <c r="I64" s="95" t="s">
        <v>29</v>
      </c>
      <c r="J64" s="89"/>
      <c r="K64" s="89"/>
      <c r="L64" s="89"/>
      <c r="M64" s="96"/>
      <c r="N64" s="84"/>
      <c r="O64" s="92" t="s">
        <v>29</v>
      </c>
      <c r="P64" s="98" t="s">
        <v>29</v>
      </c>
      <c r="Q64" s="97" t="s">
        <v>29</v>
      </c>
      <c r="R64" s="92" t="s">
        <v>29</v>
      </c>
      <c r="S64" s="92" t="s">
        <v>29</v>
      </c>
      <c r="T64" s="92" t="s">
        <v>29</v>
      </c>
      <c r="U64" s="95" t="s">
        <v>29</v>
      </c>
    </row>
    <row r="65" spans="1:21" ht="13.2" x14ac:dyDescent="0.25">
      <c r="A65" s="67"/>
      <c r="B65" s="84"/>
      <c r="C65" s="92" t="s">
        <v>29</v>
      </c>
      <c r="D65" s="98" t="s">
        <v>29</v>
      </c>
      <c r="E65" s="97" t="s">
        <v>29</v>
      </c>
      <c r="F65" s="92" t="s">
        <v>29</v>
      </c>
      <c r="G65" s="92" t="s">
        <v>29</v>
      </c>
      <c r="H65" s="92" t="s">
        <v>29</v>
      </c>
      <c r="I65" s="95" t="s">
        <v>29</v>
      </c>
      <c r="J65" s="89"/>
      <c r="K65" s="89"/>
      <c r="L65" s="89"/>
      <c r="M65" s="96"/>
      <c r="N65" s="84"/>
      <c r="O65" s="92" t="s">
        <v>29</v>
      </c>
      <c r="P65" s="98" t="s">
        <v>29</v>
      </c>
      <c r="Q65" s="97" t="s">
        <v>29</v>
      </c>
      <c r="R65" s="92" t="s">
        <v>29</v>
      </c>
      <c r="S65" s="92" t="s">
        <v>29</v>
      </c>
      <c r="T65" s="92" t="s">
        <v>29</v>
      </c>
      <c r="U65" s="95" t="s">
        <v>29</v>
      </c>
    </row>
    <row r="66" spans="1:21" ht="13.2" x14ac:dyDescent="0.25">
      <c r="A66" s="67" t="s">
        <v>29</v>
      </c>
      <c r="B66" s="84"/>
      <c r="C66" s="219" t="s">
        <v>984</v>
      </c>
      <c r="D66" s="220"/>
      <c r="E66" s="220"/>
      <c r="F66" s="220"/>
      <c r="G66" s="99">
        <v>3</v>
      </c>
      <c r="H66" s="99">
        <v>6</v>
      </c>
      <c r="I66" s="95" t="s">
        <v>29</v>
      </c>
      <c r="J66" s="89"/>
      <c r="K66" s="89"/>
      <c r="L66" s="89"/>
      <c r="M66" s="96" t="s">
        <v>29</v>
      </c>
      <c r="N66" s="84"/>
      <c r="O66" s="219" t="s">
        <v>985</v>
      </c>
      <c r="P66" s="220"/>
      <c r="Q66" s="220"/>
      <c r="R66" s="220"/>
      <c r="S66" s="99">
        <v>0</v>
      </c>
      <c r="T66" s="99">
        <v>9</v>
      </c>
      <c r="U66" s="95" t="s">
        <v>29</v>
      </c>
    </row>
    <row r="67" spans="1:21" ht="13.2" x14ac:dyDescent="0.25">
      <c r="A67" s="67" t="s">
        <v>29</v>
      </c>
      <c r="B67" s="89"/>
      <c r="C67" s="89"/>
      <c r="D67" s="89"/>
      <c r="E67" s="89"/>
      <c r="F67" s="89"/>
      <c r="G67" s="89"/>
      <c r="H67" s="89"/>
      <c r="I67" s="100" t="s">
        <v>29</v>
      </c>
      <c r="J67" s="89"/>
      <c r="K67" s="89"/>
      <c r="L67" s="89"/>
      <c r="M67" s="96" t="s">
        <v>29</v>
      </c>
      <c r="N67" s="89"/>
      <c r="O67" s="89"/>
      <c r="P67" s="89"/>
      <c r="Q67" s="89"/>
      <c r="R67" s="89"/>
      <c r="S67" s="89"/>
      <c r="T67" s="89"/>
      <c r="U67" s="100" t="s">
        <v>29</v>
      </c>
    </row>
    <row r="68" spans="1:21" ht="13.2" x14ac:dyDescent="0.25">
      <c r="A68" s="67" t="s">
        <v>29</v>
      </c>
      <c r="B68" s="101"/>
      <c r="C68" s="101"/>
      <c r="D68" s="101"/>
      <c r="E68" s="101"/>
      <c r="F68" s="101"/>
      <c r="G68" s="101"/>
      <c r="H68" s="101"/>
      <c r="I68" s="102" t="s">
        <v>29</v>
      </c>
      <c r="J68" s="89"/>
      <c r="K68" s="89"/>
      <c r="L68" s="89"/>
      <c r="M68" s="96" t="s">
        <v>29</v>
      </c>
      <c r="N68" s="101"/>
      <c r="O68" s="101"/>
      <c r="P68" s="101"/>
      <c r="Q68" s="101"/>
      <c r="R68" s="101"/>
      <c r="S68" s="101"/>
      <c r="T68" s="101"/>
      <c r="U68" s="102" t="s">
        <v>29</v>
      </c>
    </row>
    <row r="69" spans="1:21" ht="13.2" x14ac:dyDescent="0.25">
      <c r="A69" s="67" t="s">
        <v>931</v>
      </c>
      <c r="B69" s="103"/>
      <c r="C69" s="104" t="s">
        <v>936</v>
      </c>
      <c r="D69" s="105" t="s">
        <v>932</v>
      </c>
      <c r="E69" s="106" t="s">
        <v>2</v>
      </c>
      <c r="F69" s="106" t="s">
        <v>937</v>
      </c>
      <c r="G69" s="106" t="s">
        <v>917</v>
      </c>
      <c r="H69" s="106" t="s">
        <v>918</v>
      </c>
      <c r="I69" s="107" t="s">
        <v>29</v>
      </c>
      <c r="J69" s="89"/>
      <c r="K69" s="89"/>
      <c r="L69" s="89"/>
      <c r="M69" s="90" t="s">
        <v>933</v>
      </c>
      <c r="N69" s="116"/>
      <c r="O69" s="104" t="s">
        <v>936</v>
      </c>
      <c r="P69" s="105" t="s">
        <v>934</v>
      </c>
      <c r="Q69" s="106" t="s">
        <v>2</v>
      </c>
      <c r="R69" s="106" t="s">
        <v>937</v>
      </c>
      <c r="S69" s="106" t="s">
        <v>917</v>
      </c>
      <c r="T69" s="106" t="s">
        <v>918</v>
      </c>
      <c r="U69" s="107" t="s">
        <v>29</v>
      </c>
    </row>
    <row r="70" spans="1:21" ht="13.2" x14ac:dyDescent="0.25">
      <c r="A70" s="67" t="s">
        <v>931</v>
      </c>
      <c r="B70" s="108"/>
      <c r="C70" s="92">
        <v>1</v>
      </c>
      <c r="D70" s="93" t="s">
        <v>986</v>
      </c>
      <c r="E70" s="94" t="s">
        <v>242</v>
      </c>
      <c r="F70" s="92" t="s">
        <v>915</v>
      </c>
      <c r="G70" s="92">
        <v>5</v>
      </c>
      <c r="H70" s="92" t="s">
        <v>29</v>
      </c>
      <c r="I70" s="107" t="s">
        <v>29</v>
      </c>
      <c r="J70" s="89"/>
      <c r="K70" s="89"/>
      <c r="L70" s="89"/>
      <c r="M70" s="96" t="s">
        <v>933</v>
      </c>
      <c r="N70" s="108"/>
      <c r="O70" s="92">
        <v>1</v>
      </c>
      <c r="P70" s="93" t="s">
        <v>987</v>
      </c>
      <c r="Q70" s="94" t="s">
        <v>244</v>
      </c>
      <c r="R70" s="92" t="s">
        <v>915</v>
      </c>
      <c r="S70" s="92">
        <v>5</v>
      </c>
      <c r="T70" s="92" t="s">
        <v>29</v>
      </c>
      <c r="U70" s="107" t="s">
        <v>29</v>
      </c>
    </row>
    <row r="71" spans="1:21" ht="13.2" x14ac:dyDescent="0.25">
      <c r="A71" s="67" t="s">
        <v>931</v>
      </c>
      <c r="B71" s="108"/>
      <c r="C71" s="92">
        <v>2</v>
      </c>
      <c r="D71" s="93" t="s">
        <v>988</v>
      </c>
      <c r="E71" s="97" t="s">
        <v>240</v>
      </c>
      <c r="F71" s="92" t="s">
        <v>915</v>
      </c>
      <c r="G71" s="92">
        <v>3</v>
      </c>
      <c r="H71" s="92" t="s">
        <v>29</v>
      </c>
      <c r="I71" s="107" t="s">
        <v>29</v>
      </c>
      <c r="J71" s="89"/>
      <c r="K71" s="89"/>
      <c r="L71" s="89"/>
      <c r="M71" s="96" t="s">
        <v>933</v>
      </c>
      <c r="N71" s="108"/>
      <c r="O71" s="92">
        <v>2</v>
      </c>
      <c r="P71" s="93" t="s">
        <v>989</v>
      </c>
      <c r="Q71" s="97" t="s">
        <v>223</v>
      </c>
      <c r="R71" s="92" t="s">
        <v>916</v>
      </c>
      <c r="S71" s="92" t="s">
        <v>29</v>
      </c>
      <c r="T71" s="92">
        <v>3</v>
      </c>
      <c r="U71" s="107" t="s">
        <v>29</v>
      </c>
    </row>
    <row r="72" spans="1:21" ht="13.2" x14ac:dyDescent="0.25">
      <c r="A72" s="67" t="s">
        <v>931</v>
      </c>
      <c r="B72" s="108"/>
      <c r="C72" s="92">
        <v>3</v>
      </c>
      <c r="D72" s="93" t="s">
        <v>990</v>
      </c>
      <c r="E72" s="97" t="s">
        <v>222</v>
      </c>
      <c r="F72" s="92" t="s">
        <v>916</v>
      </c>
      <c r="G72" s="92" t="s">
        <v>29</v>
      </c>
      <c r="H72" s="92">
        <v>1</v>
      </c>
      <c r="I72" s="107" t="s">
        <v>29</v>
      </c>
      <c r="J72" s="89"/>
      <c r="K72" s="89"/>
      <c r="L72" s="89"/>
      <c r="M72" s="96" t="s">
        <v>933</v>
      </c>
      <c r="N72" s="108"/>
      <c r="O72" s="92">
        <v>3</v>
      </c>
      <c r="P72" s="93" t="s">
        <v>991</v>
      </c>
      <c r="Q72" s="97" t="s">
        <v>245</v>
      </c>
      <c r="R72" s="92" t="s">
        <v>915</v>
      </c>
      <c r="S72" s="92">
        <v>1</v>
      </c>
      <c r="T72" s="92" t="s">
        <v>29</v>
      </c>
      <c r="U72" s="107" t="s">
        <v>29</v>
      </c>
    </row>
    <row r="73" spans="1:21" ht="13.2" x14ac:dyDescent="0.25">
      <c r="A73" s="67" t="s">
        <v>931</v>
      </c>
      <c r="B73" s="108"/>
      <c r="C73" s="92">
        <v>4</v>
      </c>
      <c r="D73" s="93" t="s">
        <v>992</v>
      </c>
      <c r="E73" s="97" t="s">
        <v>241</v>
      </c>
      <c r="F73" s="92" t="s">
        <v>915</v>
      </c>
      <c r="G73" s="92" t="s">
        <v>29</v>
      </c>
      <c r="H73" s="92" t="s">
        <v>29</v>
      </c>
      <c r="I73" s="107" t="s">
        <v>29</v>
      </c>
      <c r="J73" s="89"/>
      <c r="K73" s="89"/>
      <c r="L73" s="89"/>
      <c r="M73" s="96" t="s">
        <v>933</v>
      </c>
      <c r="N73" s="108"/>
      <c r="O73" s="92">
        <v>4</v>
      </c>
      <c r="P73" s="93" t="s">
        <v>993</v>
      </c>
      <c r="Q73" s="97" t="s">
        <v>224</v>
      </c>
      <c r="R73" s="92" t="s">
        <v>916</v>
      </c>
      <c r="S73" s="92" t="s">
        <v>29</v>
      </c>
      <c r="T73" s="92" t="s">
        <v>29</v>
      </c>
      <c r="U73" s="107" t="s">
        <v>29</v>
      </c>
    </row>
    <row r="74" spans="1:21" ht="13.2" x14ac:dyDescent="0.25">
      <c r="A74" s="67" t="s">
        <v>29</v>
      </c>
      <c r="B74" s="108"/>
      <c r="C74" s="92" t="s">
        <v>29</v>
      </c>
      <c r="D74" s="93" t="s">
        <v>29</v>
      </c>
      <c r="E74" s="97" t="s">
        <v>29</v>
      </c>
      <c r="F74" s="92" t="s">
        <v>29</v>
      </c>
      <c r="G74" s="92" t="s">
        <v>29</v>
      </c>
      <c r="H74" s="92" t="s">
        <v>29</v>
      </c>
      <c r="I74" s="107" t="s">
        <v>29</v>
      </c>
      <c r="J74" s="89"/>
      <c r="K74" s="89"/>
      <c r="L74" s="89"/>
      <c r="M74" s="96" t="s">
        <v>933</v>
      </c>
      <c r="N74" s="108"/>
      <c r="O74" s="92">
        <v>5</v>
      </c>
      <c r="P74" s="98" t="s">
        <v>994</v>
      </c>
      <c r="Q74" s="97" t="s">
        <v>243</v>
      </c>
      <c r="R74" s="92" t="s">
        <v>915</v>
      </c>
      <c r="S74" s="92" t="s">
        <v>29</v>
      </c>
      <c r="T74" s="92" t="s">
        <v>29</v>
      </c>
      <c r="U74" s="107" t="s">
        <v>29</v>
      </c>
    </row>
    <row r="75" spans="1:21" ht="13.2" x14ac:dyDescent="0.25">
      <c r="A75" s="67" t="s">
        <v>29</v>
      </c>
      <c r="B75" s="108"/>
      <c r="C75" s="92" t="s">
        <v>29</v>
      </c>
      <c r="D75" s="93" t="s">
        <v>29</v>
      </c>
      <c r="E75" s="97" t="s">
        <v>29</v>
      </c>
      <c r="F75" s="92" t="s">
        <v>29</v>
      </c>
      <c r="G75" s="92" t="s">
        <v>29</v>
      </c>
      <c r="H75" s="92" t="s">
        <v>29</v>
      </c>
      <c r="I75" s="107" t="s">
        <v>29</v>
      </c>
      <c r="J75" s="89"/>
      <c r="K75" s="89"/>
      <c r="L75" s="89"/>
      <c r="M75" s="96" t="s">
        <v>29</v>
      </c>
      <c r="N75" s="108"/>
      <c r="O75" s="92" t="s">
        <v>29</v>
      </c>
      <c r="P75" s="98" t="s">
        <v>29</v>
      </c>
      <c r="Q75" s="97" t="s">
        <v>29</v>
      </c>
      <c r="R75" s="92" t="s">
        <v>29</v>
      </c>
      <c r="S75" s="92" t="s">
        <v>29</v>
      </c>
      <c r="T75" s="92" t="s">
        <v>29</v>
      </c>
      <c r="U75" s="107" t="s">
        <v>29</v>
      </c>
    </row>
    <row r="76" spans="1:21" ht="13.2" x14ac:dyDescent="0.25">
      <c r="A76" s="67" t="s">
        <v>29</v>
      </c>
      <c r="B76" s="108"/>
      <c r="C76" s="92" t="s">
        <v>29</v>
      </c>
      <c r="D76" s="98" t="s">
        <v>29</v>
      </c>
      <c r="E76" s="97" t="s">
        <v>29</v>
      </c>
      <c r="F76" s="92" t="s">
        <v>29</v>
      </c>
      <c r="G76" s="92" t="s">
        <v>29</v>
      </c>
      <c r="H76" s="92" t="s">
        <v>29</v>
      </c>
      <c r="I76" s="107" t="s">
        <v>29</v>
      </c>
      <c r="J76" s="89"/>
      <c r="K76" s="89"/>
      <c r="L76" s="89"/>
      <c r="M76" s="96" t="s">
        <v>29</v>
      </c>
      <c r="N76" s="108"/>
      <c r="O76" s="92" t="s">
        <v>29</v>
      </c>
      <c r="P76" s="98" t="s">
        <v>29</v>
      </c>
      <c r="Q76" s="97" t="s">
        <v>29</v>
      </c>
      <c r="R76" s="92" t="s">
        <v>29</v>
      </c>
      <c r="S76" s="92" t="s">
        <v>29</v>
      </c>
      <c r="T76" s="92" t="s">
        <v>29</v>
      </c>
      <c r="U76" s="107" t="s">
        <v>29</v>
      </c>
    </row>
    <row r="77" spans="1:21" ht="13.2" x14ac:dyDescent="0.25">
      <c r="A77" s="67" t="s">
        <v>29</v>
      </c>
      <c r="B77" s="108"/>
      <c r="C77" s="92" t="s">
        <v>29</v>
      </c>
      <c r="D77" s="98" t="s">
        <v>29</v>
      </c>
      <c r="E77" s="97" t="s">
        <v>29</v>
      </c>
      <c r="F77" s="92" t="s">
        <v>29</v>
      </c>
      <c r="G77" s="92" t="s">
        <v>29</v>
      </c>
      <c r="H77" s="92" t="s">
        <v>29</v>
      </c>
      <c r="I77" s="107" t="s">
        <v>29</v>
      </c>
      <c r="J77" s="89"/>
      <c r="K77" s="89"/>
      <c r="L77" s="89"/>
      <c r="M77" s="96" t="s">
        <v>29</v>
      </c>
      <c r="N77" s="108"/>
      <c r="O77" s="92" t="s">
        <v>29</v>
      </c>
      <c r="P77" s="98" t="s">
        <v>29</v>
      </c>
      <c r="Q77" s="97" t="s">
        <v>29</v>
      </c>
      <c r="R77" s="92" t="s">
        <v>29</v>
      </c>
      <c r="S77" s="92" t="s">
        <v>29</v>
      </c>
      <c r="T77" s="92" t="s">
        <v>29</v>
      </c>
      <c r="U77" s="107" t="s">
        <v>29</v>
      </c>
    </row>
    <row r="78" spans="1:21" ht="13.2" x14ac:dyDescent="0.25">
      <c r="A78" s="67" t="s">
        <v>29</v>
      </c>
      <c r="B78" s="108"/>
      <c r="C78" s="92" t="s">
        <v>29</v>
      </c>
      <c r="D78" s="98" t="s">
        <v>29</v>
      </c>
      <c r="E78" s="97" t="s">
        <v>29</v>
      </c>
      <c r="F78" s="92" t="s">
        <v>29</v>
      </c>
      <c r="G78" s="92" t="s">
        <v>29</v>
      </c>
      <c r="H78" s="92" t="s">
        <v>29</v>
      </c>
      <c r="I78" s="107" t="s">
        <v>29</v>
      </c>
      <c r="J78" s="89"/>
      <c r="K78" s="89"/>
      <c r="L78" s="89"/>
      <c r="M78" s="96" t="s">
        <v>29</v>
      </c>
      <c r="N78" s="108"/>
      <c r="O78" s="92" t="s">
        <v>29</v>
      </c>
      <c r="P78" s="98" t="s">
        <v>29</v>
      </c>
      <c r="Q78" s="97" t="s">
        <v>29</v>
      </c>
      <c r="R78" s="92" t="s">
        <v>29</v>
      </c>
      <c r="S78" s="92" t="s">
        <v>29</v>
      </c>
      <c r="T78" s="92" t="s">
        <v>29</v>
      </c>
      <c r="U78" s="107" t="s">
        <v>29</v>
      </c>
    </row>
    <row r="79" spans="1:21" ht="13.2" x14ac:dyDescent="0.25">
      <c r="A79" s="67" t="s">
        <v>29</v>
      </c>
      <c r="B79" s="108"/>
      <c r="C79" s="92" t="s">
        <v>29</v>
      </c>
      <c r="D79" s="98" t="s">
        <v>29</v>
      </c>
      <c r="E79" s="97" t="s">
        <v>29</v>
      </c>
      <c r="F79" s="92" t="s">
        <v>29</v>
      </c>
      <c r="G79" s="92" t="s">
        <v>29</v>
      </c>
      <c r="H79" s="92" t="s">
        <v>29</v>
      </c>
      <c r="I79" s="107" t="s">
        <v>29</v>
      </c>
      <c r="J79" s="89"/>
      <c r="K79" s="89"/>
      <c r="L79" s="89"/>
      <c r="M79" s="96" t="s">
        <v>29</v>
      </c>
      <c r="N79" s="108"/>
      <c r="O79" s="92" t="s">
        <v>29</v>
      </c>
      <c r="P79" s="98" t="s">
        <v>29</v>
      </c>
      <c r="Q79" s="97" t="s">
        <v>29</v>
      </c>
      <c r="R79" s="92" t="s">
        <v>29</v>
      </c>
      <c r="S79" s="92" t="s">
        <v>29</v>
      </c>
      <c r="T79" s="92" t="s">
        <v>29</v>
      </c>
      <c r="U79" s="107" t="s">
        <v>29</v>
      </c>
    </row>
    <row r="80" spans="1:21" ht="13.2" x14ac:dyDescent="0.25">
      <c r="A80" s="67"/>
      <c r="B80" s="108"/>
      <c r="C80" s="92" t="s">
        <v>29</v>
      </c>
      <c r="D80" s="98" t="s">
        <v>29</v>
      </c>
      <c r="E80" s="97" t="s">
        <v>29</v>
      </c>
      <c r="F80" s="92" t="s">
        <v>29</v>
      </c>
      <c r="G80" s="92" t="s">
        <v>29</v>
      </c>
      <c r="H80" s="92" t="s">
        <v>29</v>
      </c>
      <c r="I80" s="107" t="s">
        <v>29</v>
      </c>
      <c r="J80" s="89"/>
      <c r="K80" s="89"/>
      <c r="L80" s="89"/>
      <c r="M80" s="96"/>
      <c r="N80" s="108"/>
      <c r="O80" s="92" t="s">
        <v>29</v>
      </c>
      <c r="P80" s="98" t="s">
        <v>29</v>
      </c>
      <c r="Q80" s="97" t="s">
        <v>29</v>
      </c>
      <c r="R80" s="92" t="s">
        <v>29</v>
      </c>
      <c r="S80" s="92" t="s">
        <v>29</v>
      </c>
      <c r="T80" s="92" t="s">
        <v>29</v>
      </c>
      <c r="U80" s="107" t="s">
        <v>29</v>
      </c>
    </row>
    <row r="81" spans="1:21" ht="13.2" x14ac:dyDescent="0.25">
      <c r="A81" s="67"/>
      <c r="B81" s="108"/>
      <c r="C81" s="92" t="s">
        <v>29</v>
      </c>
      <c r="D81" s="98" t="s">
        <v>29</v>
      </c>
      <c r="E81" s="97" t="s">
        <v>29</v>
      </c>
      <c r="F81" s="92" t="s">
        <v>29</v>
      </c>
      <c r="G81" s="92" t="s">
        <v>29</v>
      </c>
      <c r="H81" s="92" t="s">
        <v>29</v>
      </c>
      <c r="I81" s="107" t="s">
        <v>29</v>
      </c>
      <c r="J81" s="89"/>
      <c r="K81" s="89"/>
      <c r="L81" s="89"/>
      <c r="M81" s="96"/>
      <c r="N81" s="108"/>
      <c r="O81" s="92" t="s">
        <v>29</v>
      </c>
      <c r="P81" s="98" t="s">
        <v>29</v>
      </c>
      <c r="Q81" s="97" t="s">
        <v>29</v>
      </c>
      <c r="R81" s="92" t="s">
        <v>29</v>
      </c>
      <c r="S81" s="92" t="s">
        <v>29</v>
      </c>
      <c r="T81" s="92" t="s">
        <v>29</v>
      </c>
      <c r="U81" s="107" t="s">
        <v>29</v>
      </c>
    </row>
    <row r="82" spans="1:21" ht="13.2" x14ac:dyDescent="0.25">
      <c r="A82" s="67"/>
      <c r="B82" s="108"/>
      <c r="C82" s="92" t="s">
        <v>29</v>
      </c>
      <c r="D82" s="98" t="s">
        <v>29</v>
      </c>
      <c r="E82" s="97" t="s">
        <v>29</v>
      </c>
      <c r="F82" s="92" t="s">
        <v>29</v>
      </c>
      <c r="G82" s="92" t="s">
        <v>29</v>
      </c>
      <c r="H82" s="92" t="s">
        <v>29</v>
      </c>
      <c r="I82" s="107" t="s">
        <v>29</v>
      </c>
      <c r="J82" s="89"/>
      <c r="K82" s="89"/>
      <c r="L82" s="89"/>
      <c r="M82" s="96"/>
      <c r="N82" s="108"/>
      <c r="O82" s="92" t="s">
        <v>29</v>
      </c>
      <c r="P82" s="98" t="s">
        <v>29</v>
      </c>
      <c r="Q82" s="97" t="s">
        <v>29</v>
      </c>
      <c r="R82" s="92" t="s">
        <v>29</v>
      </c>
      <c r="S82" s="92" t="s">
        <v>29</v>
      </c>
      <c r="T82" s="92" t="s">
        <v>29</v>
      </c>
      <c r="U82" s="107" t="s">
        <v>29</v>
      </c>
    </row>
    <row r="83" spans="1:21" ht="13.2" x14ac:dyDescent="0.25">
      <c r="A83" s="67"/>
      <c r="B83" s="108"/>
      <c r="C83" s="92" t="s">
        <v>29</v>
      </c>
      <c r="D83" s="98" t="s">
        <v>29</v>
      </c>
      <c r="E83" s="97" t="s">
        <v>29</v>
      </c>
      <c r="F83" s="92" t="s">
        <v>29</v>
      </c>
      <c r="G83" s="92" t="s">
        <v>29</v>
      </c>
      <c r="H83" s="92" t="s">
        <v>29</v>
      </c>
      <c r="I83" s="107" t="s">
        <v>29</v>
      </c>
      <c r="J83" s="89"/>
      <c r="K83" s="89"/>
      <c r="L83" s="89"/>
      <c r="M83" s="96"/>
      <c r="N83" s="108"/>
      <c r="O83" s="92" t="s">
        <v>29</v>
      </c>
      <c r="P83" s="98" t="s">
        <v>29</v>
      </c>
      <c r="Q83" s="97" t="s">
        <v>29</v>
      </c>
      <c r="R83" s="92" t="s">
        <v>29</v>
      </c>
      <c r="S83" s="92" t="s">
        <v>29</v>
      </c>
      <c r="T83" s="92" t="s">
        <v>29</v>
      </c>
      <c r="U83" s="107" t="s">
        <v>29</v>
      </c>
    </row>
    <row r="84" spans="1:21" ht="13.2" x14ac:dyDescent="0.25">
      <c r="A84" s="67"/>
      <c r="B84" s="108"/>
      <c r="C84" s="92" t="s">
        <v>29</v>
      </c>
      <c r="D84" s="98" t="s">
        <v>29</v>
      </c>
      <c r="E84" s="97" t="s">
        <v>29</v>
      </c>
      <c r="F84" s="92" t="s">
        <v>29</v>
      </c>
      <c r="G84" s="92" t="s">
        <v>29</v>
      </c>
      <c r="H84" s="92" t="s">
        <v>29</v>
      </c>
      <c r="I84" s="107" t="s">
        <v>29</v>
      </c>
      <c r="J84" s="89"/>
      <c r="K84" s="89"/>
      <c r="L84" s="89"/>
      <c r="M84" s="96"/>
      <c r="N84" s="108"/>
      <c r="O84" s="92" t="s">
        <v>29</v>
      </c>
      <c r="P84" s="98" t="s">
        <v>29</v>
      </c>
      <c r="Q84" s="97" t="s">
        <v>29</v>
      </c>
      <c r="R84" s="92" t="s">
        <v>29</v>
      </c>
      <c r="S84" s="92" t="s">
        <v>29</v>
      </c>
      <c r="T84" s="92" t="s">
        <v>29</v>
      </c>
      <c r="U84" s="107" t="s">
        <v>29</v>
      </c>
    </row>
    <row r="85" spans="1:21" ht="13.2" x14ac:dyDescent="0.25">
      <c r="A85" s="67" t="s">
        <v>29</v>
      </c>
      <c r="B85" s="108"/>
      <c r="C85" s="219" t="s">
        <v>995</v>
      </c>
      <c r="D85" s="220"/>
      <c r="E85" s="220"/>
      <c r="F85" s="220"/>
      <c r="G85" s="99">
        <v>8</v>
      </c>
      <c r="H85" s="99">
        <v>1</v>
      </c>
      <c r="I85" s="107" t="s">
        <v>29</v>
      </c>
      <c r="J85" s="89"/>
      <c r="K85" s="89"/>
      <c r="L85" s="89"/>
      <c r="M85" s="96" t="s">
        <v>29</v>
      </c>
      <c r="N85" s="108"/>
      <c r="O85" s="219" t="s">
        <v>996</v>
      </c>
      <c r="P85" s="220"/>
      <c r="Q85" s="220"/>
      <c r="R85" s="220"/>
      <c r="S85" s="99">
        <v>6</v>
      </c>
      <c r="T85" s="99">
        <v>3</v>
      </c>
      <c r="U85" s="107" t="s">
        <v>29</v>
      </c>
    </row>
    <row r="86" spans="1:21" ht="13.2" x14ac:dyDescent="0.25">
      <c r="A86" s="67"/>
      <c r="B86" s="66"/>
      <c r="C86" s="117"/>
      <c r="D86" s="66"/>
      <c r="E86" s="66"/>
      <c r="F86" s="66"/>
      <c r="G86" s="66"/>
      <c r="H86" s="66"/>
      <c r="I86" s="117" t="s">
        <v>29</v>
      </c>
      <c r="J86" s="66"/>
      <c r="K86" s="66"/>
      <c r="L86" s="66"/>
      <c r="M86" s="74"/>
      <c r="N86" s="66"/>
      <c r="O86" s="66"/>
      <c r="P86" s="66"/>
      <c r="Q86" s="66"/>
      <c r="R86" s="66"/>
      <c r="S86" s="66"/>
      <c r="T86" s="66"/>
      <c r="U86" s="117" t="s">
        <v>29</v>
      </c>
    </row>
    <row r="87" spans="1:21" ht="13.2" x14ac:dyDescent="0.25">
      <c r="A87" s="67"/>
      <c r="B87" s="66"/>
      <c r="C87" s="118" t="s">
        <v>997</v>
      </c>
      <c r="D87" s="89"/>
      <c r="E87" s="89"/>
      <c r="F87" s="89"/>
      <c r="G87" s="89"/>
      <c r="H87" s="89"/>
      <c r="I87" s="100" t="s">
        <v>29</v>
      </c>
      <c r="J87" s="89"/>
      <c r="K87" s="89"/>
      <c r="L87" s="89"/>
      <c r="M87" s="96"/>
      <c r="N87" s="119"/>
      <c r="O87" s="120" t="s">
        <v>998</v>
      </c>
      <c r="P87" s="119"/>
      <c r="Q87" s="221" t="s">
        <v>999</v>
      </c>
      <c r="R87" s="220"/>
      <c r="S87" s="220"/>
      <c r="T87" s="222"/>
      <c r="U87" s="30" t="s">
        <v>29</v>
      </c>
    </row>
    <row r="88" spans="1:21" ht="13.2" x14ac:dyDescent="0.25">
      <c r="A88" s="67"/>
      <c r="B88" s="66"/>
      <c r="C88" s="245" t="s">
        <v>1000</v>
      </c>
      <c r="D88" s="227"/>
      <c r="E88" s="227"/>
      <c r="F88" s="227"/>
      <c r="G88" s="227"/>
      <c r="H88" s="228"/>
      <c r="I88" s="100" t="s">
        <v>29</v>
      </c>
      <c r="J88" s="89"/>
      <c r="K88" s="89"/>
      <c r="L88" s="89"/>
      <c r="M88" s="96"/>
      <c r="N88" s="119"/>
      <c r="O88" s="120" t="s">
        <v>1001</v>
      </c>
      <c r="P88" s="121"/>
      <c r="Q88" s="221" t="s">
        <v>1002</v>
      </c>
      <c r="R88" s="220"/>
      <c r="S88" s="220"/>
      <c r="T88" s="222"/>
      <c r="U88" s="30" t="s">
        <v>29</v>
      </c>
    </row>
    <row r="89" spans="1:21" ht="13.2" x14ac:dyDescent="0.25">
      <c r="A89" s="67"/>
      <c r="B89" s="66"/>
      <c r="C89" s="231"/>
      <c r="D89" s="232"/>
      <c r="E89" s="232"/>
      <c r="F89" s="232"/>
      <c r="G89" s="232"/>
      <c r="H89" s="233"/>
      <c r="I89" s="100" t="s">
        <v>29</v>
      </c>
      <c r="J89" s="89"/>
      <c r="K89" s="89"/>
      <c r="L89" s="89"/>
      <c r="M89" s="96"/>
      <c r="N89" s="119"/>
      <c r="O89" s="120"/>
      <c r="P89" s="121"/>
      <c r="Q89" s="223"/>
      <c r="R89" s="224"/>
      <c r="S89" s="224"/>
      <c r="T89" s="224"/>
      <c r="U89" s="30" t="s">
        <v>29</v>
      </c>
    </row>
    <row r="90" spans="1:21" ht="13.2" x14ac:dyDescent="0.25">
      <c r="A90" s="67"/>
      <c r="B90" s="66"/>
      <c r="C90" s="118" t="s">
        <v>1003</v>
      </c>
      <c r="D90" s="122"/>
      <c r="E90" s="225" t="s">
        <v>1002</v>
      </c>
      <c r="F90" s="220"/>
      <c r="G90" s="220"/>
      <c r="H90" s="222"/>
      <c r="I90" s="100" t="s">
        <v>29</v>
      </c>
      <c r="J90" s="89"/>
      <c r="K90" s="89"/>
      <c r="L90" s="89"/>
      <c r="M90" s="96"/>
      <c r="N90" s="119"/>
      <c r="O90" s="118" t="s">
        <v>1004</v>
      </c>
      <c r="P90" s="122"/>
      <c r="Q90" s="225" t="s">
        <v>1005</v>
      </c>
      <c r="R90" s="220"/>
      <c r="S90" s="220"/>
      <c r="T90" s="222"/>
      <c r="U90" s="30" t="s">
        <v>29</v>
      </c>
    </row>
    <row r="91" spans="1:21" ht="13.2" x14ac:dyDescent="0.25">
      <c r="A91" s="67"/>
      <c r="B91" s="66"/>
      <c r="C91" s="118" t="s">
        <v>1006</v>
      </c>
      <c r="D91" s="122"/>
      <c r="E91" s="122"/>
      <c r="F91" s="122"/>
      <c r="G91" s="122"/>
      <c r="H91" s="122"/>
      <c r="I91" s="100" t="s">
        <v>29</v>
      </c>
      <c r="J91" s="89"/>
      <c r="K91" s="89"/>
      <c r="L91" s="89"/>
      <c r="M91" s="96"/>
      <c r="N91" s="119"/>
      <c r="O91" s="120" t="s">
        <v>1007</v>
      </c>
      <c r="P91" s="121"/>
      <c r="Q91" s="121"/>
      <c r="R91" s="121"/>
      <c r="S91" s="121"/>
      <c r="T91" s="121"/>
      <c r="U91" s="30" t="s">
        <v>29</v>
      </c>
    </row>
    <row r="92" spans="1:21" ht="13.2" x14ac:dyDescent="0.25">
      <c r="A92" s="67"/>
      <c r="B92" s="66"/>
      <c r="C92" s="242"/>
      <c r="D92" s="227"/>
      <c r="E92" s="227"/>
      <c r="F92" s="227"/>
      <c r="G92" s="227"/>
      <c r="H92" s="228"/>
      <c r="I92" s="117" t="s">
        <v>29</v>
      </c>
      <c r="J92" s="66"/>
      <c r="K92" s="66"/>
      <c r="L92" s="66"/>
      <c r="M92" s="74"/>
      <c r="N92" s="123"/>
      <c r="O92" s="226"/>
      <c r="P92" s="227"/>
      <c r="Q92" s="227"/>
      <c r="R92" s="227"/>
      <c r="S92" s="227"/>
      <c r="T92" s="228"/>
      <c r="U92" s="30" t="s">
        <v>29</v>
      </c>
    </row>
    <row r="93" spans="1:21" ht="13.2" x14ac:dyDescent="0.25">
      <c r="A93" s="67"/>
      <c r="B93" s="66"/>
      <c r="C93" s="229"/>
      <c r="D93" s="224"/>
      <c r="E93" s="224"/>
      <c r="F93" s="224"/>
      <c r="G93" s="224"/>
      <c r="H93" s="230"/>
      <c r="I93" s="117" t="s">
        <v>29</v>
      </c>
      <c r="J93" s="66"/>
      <c r="K93" s="66"/>
      <c r="L93" s="66"/>
      <c r="M93" s="74"/>
      <c r="N93" s="123"/>
      <c r="O93" s="229"/>
      <c r="P93" s="224"/>
      <c r="Q93" s="224"/>
      <c r="R93" s="224"/>
      <c r="S93" s="224"/>
      <c r="T93" s="230"/>
      <c r="U93" s="30" t="s">
        <v>29</v>
      </c>
    </row>
    <row r="94" spans="1:21" ht="13.2" x14ac:dyDescent="0.25">
      <c r="A94" s="67"/>
      <c r="B94" s="66"/>
      <c r="C94" s="229"/>
      <c r="D94" s="224"/>
      <c r="E94" s="224"/>
      <c r="F94" s="224"/>
      <c r="G94" s="224"/>
      <c r="H94" s="230"/>
      <c r="I94" s="117" t="s">
        <v>29</v>
      </c>
      <c r="J94" s="66"/>
      <c r="K94" s="66"/>
      <c r="L94" s="66"/>
      <c r="M94" s="74"/>
      <c r="N94" s="123"/>
      <c r="O94" s="229"/>
      <c r="P94" s="224"/>
      <c r="Q94" s="224"/>
      <c r="R94" s="224"/>
      <c r="S94" s="224"/>
      <c r="T94" s="230"/>
      <c r="U94" s="30" t="s">
        <v>29</v>
      </c>
    </row>
    <row r="95" spans="1:21" ht="13.2" x14ac:dyDescent="0.25">
      <c r="A95" s="67"/>
      <c r="B95" s="66"/>
      <c r="C95" s="231"/>
      <c r="D95" s="232"/>
      <c r="E95" s="232"/>
      <c r="F95" s="232"/>
      <c r="G95" s="232"/>
      <c r="H95" s="233"/>
      <c r="I95" s="117" t="s">
        <v>29</v>
      </c>
      <c r="J95" s="66"/>
      <c r="K95" s="66"/>
      <c r="L95" s="66"/>
      <c r="M95" s="74"/>
      <c r="N95" s="123"/>
      <c r="O95" s="231"/>
      <c r="P95" s="232"/>
      <c r="Q95" s="232"/>
      <c r="R95" s="232"/>
      <c r="S95" s="232"/>
      <c r="T95" s="233"/>
      <c r="U95" s="30" t="s">
        <v>29</v>
      </c>
    </row>
    <row r="96" spans="1:21" ht="13.2" x14ac:dyDescent="0.25">
      <c r="A96" s="67"/>
      <c r="B96" s="66"/>
      <c r="C96" s="117"/>
      <c r="D96" s="66"/>
      <c r="E96" s="66"/>
      <c r="F96" s="66"/>
      <c r="G96" s="66"/>
      <c r="H96" s="66"/>
      <c r="I96" s="117" t="s">
        <v>29</v>
      </c>
      <c r="J96" s="66"/>
      <c r="K96" s="66"/>
      <c r="L96" s="66"/>
      <c r="M96" s="74"/>
      <c r="N96" s="66"/>
      <c r="O96" s="66"/>
      <c r="P96" s="66"/>
      <c r="Q96" s="66"/>
      <c r="R96" s="66"/>
      <c r="S96" s="66"/>
      <c r="T96" s="66"/>
      <c r="U96" s="117" t="s">
        <v>29</v>
      </c>
    </row>
    <row r="97" spans="1:21" ht="18" x14ac:dyDescent="0.25">
      <c r="A97" s="67"/>
      <c r="B97" s="124"/>
      <c r="C97" s="125"/>
      <c r="D97" s="126" t="s">
        <v>912</v>
      </c>
      <c r="E97" s="127">
        <v>2</v>
      </c>
      <c r="F97" s="36"/>
      <c r="G97" s="36"/>
      <c r="H97" s="36"/>
      <c r="I97" s="128" t="s">
        <v>29</v>
      </c>
      <c r="J97" s="129"/>
      <c r="K97" s="129"/>
      <c r="L97" s="129"/>
      <c r="M97" s="129"/>
      <c r="N97" s="129"/>
      <c r="O97" s="129"/>
      <c r="P97" s="126" t="s">
        <v>913</v>
      </c>
      <c r="Q97" s="234">
        <v>45461</v>
      </c>
      <c r="R97" s="224"/>
      <c r="S97" s="224"/>
      <c r="T97" s="224"/>
      <c r="U97" s="130" t="s">
        <v>29</v>
      </c>
    </row>
    <row r="98" spans="1:21" ht="15.6" x14ac:dyDescent="0.25">
      <c r="A98" s="67"/>
      <c r="B98" s="131"/>
      <c r="C98" s="132"/>
      <c r="D98" s="133" t="s">
        <v>914</v>
      </c>
      <c r="E98" s="133"/>
      <c r="F98" s="39"/>
      <c r="G98" s="39"/>
      <c r="H98" s="39"/>
      <c r="I98" s="134" t="s">
        <v>29</v>
      </c>
      <c r="J98" s="39"/>
      <c r="K98" s="39"/>
      <c r="L98" s="39"/>
      <c r="M98" s="39"/>
      <c r="N98" s="39"/>
      <c r="O98" s="39"/>
      <c r="P98" s="135" t="s">
        <v>3</v>
      </c>
      <c r="Q98" s="235" t="s">
        <v>863</v>
      </c>
      <c r="R98" s="224"/>
      <c r="S98" s="224"/>
      <c r="T98" s="224"/>
      <c r="U98" s="134" t="s">
        <v>29</v>
      </c>
    </row>
    <row r="99" spans="1:21" ht="15.6" x14ac:dyDescent="0.25">
      <c r="A99" s="67"/>
      <c r="B99" s="136"/>
      <c r="C99" s="137"/>
      <c r="D99" s="133"/>
      <c r="E99" s="133"/>
      <c r="F99" s="39"/>
      <c r="G99" s="39"/>
      <c r="H99" s="39"/>
      <c r="I99" s="134" t="s">
        <v>29</v>
      </c>
      <c r="J99" s="39"/>
      <c r="K99" s="39"/>
      <c r="L99" s="39"/>
      <c r="M99" s="39"/>
      <c r="N99" s="39"/>
      <c r="O99" s="39"/>
      <c r="P99" s="133"/>
      <c r="Q99" s="133"/>
      <c r="R99" s="133"/>
      <c r="S99" s="39"/>
      <c r="T99" s="39"/>
      <c r="U99" s="134" t="s">
        <v>29</v>
      </c>
    </row>
    <row r="100" spans="1:21" ht="17.399999999999999" x14ac:dyDescent="0.3">
      <c r="A100" s="67"/>
      <c r="B100" s="61" t="s">
        <v>1008</v>
      </c>
      <c r="C100" s="257" t="s">
        <v>859</v>
      </c>
      <c r="D100" s="222"/>
      <c r="E100" s="258" t="s">
        <v>864</v>
      </c>
      <c r="F100" s="220"/>
      <c r="G100" s="220"/>
      <c r="H100" s="222"/>
      <c r="I100" s="138" t="s">
        <v>29</v>
      </c>
      <c r="J100" s="63"/>
      <c r="K100" s="63"/>
      <c r="L100" s="63"/>
      <c r="M100" s="63"/>
      <c r="N100" s="61" t="s">
        <v>1009</v>
      </c>
      <c r="O100" s="236" t="s">
        <v>860</v>
      </c>
      <c r="P100" s="222"/>
      <c r="Q100" s="237" t="s">
        <v>865</v>
      </c>
      <c r="R100" s="220"/>
      <c r="S100" s="220"/>
      <c r="T100" s="222"/>
      <c r="U100" s="138" t="s">
        <v>29</v>
      </c>
    </row>
    <row r="101" spans="1:21" ht="17.399999999999999" x14ac:dyDescent="0.3">
      <c r="A101" s="67"/>
      <c r="B101" s="65"/>
      <c r="C101" s="243" t="s">
        <v>2</v>
      </c>
      <c r="D101" s="222"/>
      <c r="E101" s="244">
        <v>23</v>
      </c>
      <c r="F101" s="220"/>
      <c r="G101" s="220"/>
      <c r="H101" s="222"/>
      <c r="I101" s="138" t="s">
        <v>29</v>
      </c>
      <c r="J101" s="62"/>
      <c r="K101" s="62"/>
      <c r="L101" s="62"/>
      <c r="M101" s="62"/>
      <c r="N101" s="65"/>
      <c r="O101" s="238" t="s">
        <v>2</v>
      </c>
      <c r="P101" s="222"/>
      <c r="Q101" s="239">
        <v>49</v>
      </c>
      <c r="R101" s="220"/>
      <c r="S101" s="220"/>
      <c r="T101" s="222"/>
      <c r="U101" s="138" t="s">
        <v>29</v>
      </c>
    </row>
    <row r="102" spans="1:21" ht="13.2" x14ac:dyDescent="0.25">
      <c r="A102" s="67"/>
      <c r="B102" s="66"/>
      <c r="C102" s="66"/>
      <c r="D102" s="66"/>
      <c r="E102" s="66"/>
      <c r="F102" s="66"/>
      <c r="G102" s="66"/>
      <c r="H102" s="66"/>
      <c r="I102" s="117" t="s">
        <v>29</v>
      </c>
      <c r="J102" s="66"/>
      <c r="K102" s="66"/>
      <c r="L102" s="66"/>
      <c r="M102" s="74"/>
      <c r="N102" s="66"/>
      <c r="O102" s="66"/>
      <c r="P102" s="66"/>
      <c r="Q102" s="66"/>
      <c r="R102" s="66"/>
      <c r="S102" s="66"/>
      <c r="T102" s="66"/>
      <c r="U102" s="117" t="s">
        <v>29</v>
      </c>
    </row>
    <row r="103" spans="1:21" ht="13.2" x14ac:dyDescent="0.25">
      <c r="A103" s="67"/>
      <c r="B103" s="66"/>
      <c r="C103" s="68"/>
      <c r="D103" s="69"/>
      <c r="E103" s="70"/>
      <c r="F103" s="71"/>
      <c r="G103" s="72" t="s">
        <v>917</v>
      </c>
      <c r="H103" s="73" t="s">
        <v>918</v>
      </c>
      <c r="I103" s="117" t="s">
        <v>29</v>
      </c>
      <c r="J103" s="66"/>
      <c r="K103" s="66"/>
      <c r="L103" s="66"/>
      <c r="M103" s="74"/>
      <c r="N103" s="66"/>
      <c r="O103" s="68"/>
      <c r="P103" s="69"/>
      <c r="Q103" s="70"/>
      <c r="R103" s="71"/>
      <c r="S103" s="72" t="s">
        <v>917</v>
      </c>
      <c r="T103" s="73" t="s">
        <v>918</v>
      </c>
      <c r="U103" s="117" t="s">
        <v>29</v>
      </c>
    </row>
    <row r="104" spans="1:21" ht="13.2" x14ac:dyDescent="0.25">
      <c r="A104" s="67"/>
      <c r="B104" s="66"/>
      <c r="C104" s="68" t="s">
        <v>919</v>
      </c>
      <c r="D104" s="75" t="s">
        <v>920</v>
      </c>
      <c r="E104" s="76"/>
      <c r="F104" s="77"/>
      <c r="G104" s="78">
        <v>3</v>
      </c>
      <c r="H104" s="79">
        <v>6</v>
      </c>
      <c r="I104" s="117" t="s">
        <v>29</v>
      </c>
      <c r="J104" s="66"/>
      <c r="K104" s="66"/>
      <c r="L104" s="66"/>
      <c r="M104" s="74"/>
      <c r="N104" s="66"/>
      <c r="O104" s="68" t="s">
        <v>921</v>
      </c>
      <c r="P104" s="75" t="s">
        <v>922</v>
      </c>
      <c r="Q104" s="76"/>
      <c r="R104" s="77"/>
      <c r="S104" s="78">
        <v>3</v>
      </c>
      <c r="T104" s="79">
        <v>6</v>
      </c>
      <c r="U104" s="117" t="s">
        <v>29</v>
      </c>
    </row>
    <row r="105" spans="1:21" ht="13.2" x14ac:dyDescent="0.25">
      <c r="A105" s="67"/>
      <c r="B105" s="66"/>
      <c r="C105" s="68" t="s">
        <v>923</v>
      </c>
      <c r="D105" s="75" t="s">
        <v>924</v>
      </c>
      <c r="E105" s="76"/>
      <c r="F105" s="77"/>
      <c r="G105" s="78">
        <v>3</v>
      </c>
      <c r="H105" s="79">
        <v>6</v>
      </c>
      <c r="I105" s="117" t="s">
        <v>29</v>
      </c>
      <c r="J105" s="66"/>
      <c r="K105" s="66"/>
      <c r="L105" s="66"/>
      <c r="M105" s="74"/>
      <c r="N105" s="66"/>
      <c r="O105" s="68" t="s">
        <v>925</v>
      </c>
      <c r="P105" s="75" t="s">
        <v>926</v>
      </c>
      <c r="Q105" s="76"/>
      <c r="R105" s="77"/>
      <c r="S105" s="78">
        <v>6</v>
      </c>
      <c r="T105" s="79">
        <v>3</v>
      </c>
      <c r="U105" s="117" t="s">
        <v>29</v>
      </c>
    </row>
    <row r="106" spans="1:21" ht="13.2" x14ac:dyDescent="0.25">
      <c r="A106" s="67"/>
      <c r="B106" s="66"/>
      <c r="C106" s="68" t="s">
        <v>927</v>
      </c>
      <c r="D106" s="75" t="s">
        <v>928</v>
      </c>
      <c r="E106" s="76"/>
      <c r="F106" s="77"/>
      <c r="G106" s="78">
        <v>6</v>
      </c>
      <c r="H106" s="79">
        <v>3</v>
      </c>
      <c r="I106" s="117" t="s">
        <v>29</v>
      </c>
      <c r="J106" s="66"/>
      <c r="K106" s="66"/>
      <c r="L106" s="66"/>
      <c r="M106" s="74"/>
      <c r="N106" s="66"/>
      <c r="O106" s="68" t="s">
        <v>929</v>
      </c>
      <c r="P106" s="75" t="s">
        <v>930</v>
      </c>
      <c r="Q106" s="76"/>
      <c r="R106" s="77"/>
      <c r="S106" s="78">
        <v>1</v>
      </c>
      <c r="T106" s="79">
        <v>8</v>
      </c>
      <c r="U106" s="117" t="s">
        <v>29</v>
      </c>
    </row>
    <row r="107" spans="1:21" ht="13.2" x14ac:dyDescent="0.25">
      <c r="A107" s="67"/>
      <c r="B107" s="66"/>
      <c r="C107" s="68" t="s">
        <v>931</v>
      </c>
      <c r="D107" s="75" t="s">
        <v>932</v>
      </c>
      <c r="E107" s="76"/>
      <c r="F107" s="77"/>
      <c r="G107" s="78">
        <v>1</v>
      </c>
      <c r="H107" s="79">
        <v>8</v>
      </c>
      <c r="I107" s="117" t="s">
        <v>29</v>
      </c>
      <c r="J107" s="66"/>
      <c r="K107" s="66"/>
      <c r="L107" s="66"/>
      <c r="M107" s="74"/>
      <c r="N107" s="66"/>
      <c r="O107" s="68" t="s">
        <v>933</v>
      </c>
      <c r="P107" s="75" t="s">
        <v>934</v>
      </c>
      <c r="Q107" s="76"/>
      <c r="R107" s="77"/>
      <c r="S107" s="78">
        <v>0</v>
      </c>
      <c r="T107" s="79">
        <v>9</v>
      </c>
      <c r="U107" s="117" t="s">
        <v>29</v>
      </c>
    </row>
    <row r="108" spans="1:21" ht="13.2" x14ac:dyDescent="0.25">
      <c r="A108" s="67"/>
      <c r="B108" s="66"/>
      <c r="C108" s="80"/>
      <c r="D108" s="81" t="s">
        <v>935</v>
      </c>
      <c r="E108" s="82"/>
      <c r="F108" s="83"/>
      <c r="G108" s="72">
        <v>13</v>
      </c>
      <c r="H108" s="73">
        <v>23</v>
      </c>
      <c r="I108" s="117" t="s">
        <v>29</v>
      </c>
      <c r="J108" s="66"/>
      <c r="K108" s="66"/>
      <c r="L108" s="66"/>
      <c r="M108" s="74"/>
      <c r="N108" s="66"/>
      <c r="O108" s="80"/>
      <c r="P108" s="81" t="s">
        <v>935</v>
      </c>
      <c r="Q108" s="82"/>
      <c r="R108" s="83"/>
      <c r="S108" s="72">
        <v>10</v>
      </c>
      <c r="T108" s="73">
        <v>26</v>
      </c>
      <c r="U108" s="117" t="s">
        <v>29</v>
      </c>
    </row>
    <row r="109" spans="1:21" ht="13.2" x14ac:dyDescent="0.25">
      <c r="A109" s="67"/>
      <c r="B109" s="66"/>
      <c r="C109" s="66"/>
      <c r="D109" s="66"/>
      <c r="E109" s="66"/>
      <c r="F109" s="66"/>
      <c r="G109" s="66"/>
      <c r="H109" s="66"/>
      <c r="I109" s="117" t="s">
        <v>29</v>
      </c>
      <c r="J109" s="66"/>
      <c r="K109" s="66"/>
      <c r="L109" s="66"/>
      <c r="M109" s="74"/>
      <c r="N109" s="66"/>
      <c r="O109" s="66"/>
      <c r="P109" s="66"/>
      <c r="Q109" s="66"/>
      <c r="R109" s="66"/>
      <c r="S109" s="66"/>
      <c r="T109" s="66"/>
      <c r="U109" s="117" t="s">
        <v>29</v>
      </c>
    </row>
    <row r="110" spans="1:21" ht="13.2" x14ac:dyDescent="0.25">
      <c r="A110" s="67"/>
      <c r="B110" s="66"/>
      <c r="C110" s="66"/>
      <c r="D110" s="66"/>
      <c r="E110" s="66"/>
      <c r="F110" s="66"/>
      <c r="G110" s="66"/>
      <c r="H110" s="66"/>
      <c r="I110" s="117" t="s">
        <v>29</v>
      </c>
      <c r="J110" s="66"/>
      <c r="K110" s="66"/>
      <c r="L110" s="66"/>
      <c r="M110" s="74"/>
      <c r="N110" s="66"/>
      <c r="O110" s="66"/>
      <c r="P110" s="66"/>
      <c r="Q110" s="66"/>
      <c r="R110" s="66"/>
      <c r="S110" s="66"/>
      <c r="T110" s="66"/>
      <c r="U110" s="117" t="s">
        <v>29</v>
      </c>
    </row>
    <row r="111" spans="1:21" ht="13.2" x14ac:dyDescent="0.25">
      <c r="A111" s="67"/>
      <c r="B111" s="66"/>
      <c r="C111" s="66"/>
      <c r="D111" s="66"/>
      <c r="E111" s="66"/>
      <c r="F111" s="66"/>
      <c r="G111" s="66"/>
      <c r="H111" s="66"/>
      <c r="I111" s="117" t="s">
        <v>29</v>
      </c>
      <c r="J111" s="66"/>
      <c r="K111" s="66"/>
      <c r="L111" s="66"/>
      <c r="M111" s="74"/>
      <c r="N111" s="66"/>
      <c r="O111" s="66"/>
      <c r="P111" s="66"/>
      <c r="Q111" s="66"/>
      <c r="R111" s="66"/>
      <c r="S111" s="66"/>
      <c r="T111" s="66"/>
      <c r="U111" s="117" t="s">
        <v>29</v>
      </c>
    </row>
    <row r="112" spans="1:21" ht="13.2" x14ac:dyDescent="0.25">
      <c r="A112" s="67" t="s">
        <v>919</v>
      </c>
      <c r="B112" s="84"/>
      <c r="C112" s="85" t="s">
        <v>936</v>
      </c>
      <c r="D112" s="86" t="s">
        <v>920</v>
      </c>
      <c r="E112" s="87" t="s">
        <v>2</v>
      </c>
      <c r="F112" s="87" t="s">
        <v>937</v>
      </c>
      <c r="G112" s="87" t="s">
        <v>917</v>
      </c>
      <c r="H112" s="87" t="s">
        <v>918</v>
      </c>
      <c r="I112" s="88" t="s">
        <v>29</v>
      </c>
      <c r="J112" s="89"/>
      <c r="K112" s="89"/>
      <c r="L112" s="89"/>
      <c r="M112" s="90" t="s">
        <v>921</v>
      </c>
      <c r="N112" s="91"/>
      <c r="O112" s="85" t="s">
        <v>936</v>
      </c>
      <c r="P112" s="86" t="s">
        <v>922</v>
      </c>
      <c r="Q112" s="87" t="s">
        <v>2</v>
      </c>
      <c r="R112" s="87" t="s">
        <v>937</v>
      </c>
      <c r="S112" s="87" t="s">
        <v>917</v>
      </c>
      <c r="T112" s="87" t="s">
        <v>918</v>
      </c>
      <c r="U112" s="88" t="s">
        <v>29</v>
      </c>
    </row>
    <row r="113" spans="1:21" ht="13.2" x14ac:dyDescent="0.25">
      <c r="A113" s="67" t="s">
        <v>919</v>
      </c>
      <c r="B113" s="84"/>
      <c r="C113" s="92">
        <v>1</v>
      </c>
      <c r="D113" s="93" t="s">
        <v>1010</v>
      </c>
      <c r="E113" s="94" t="s">
        <v>548</v>
      </c>
      <c r="F113" s="92" t="s">
        <v>1009</v>
      </c>
      <c r="G113" s="92" t="s">
        <v>29</v>
      </c>
      <c r="H113" s="92">
        <v>5</v>
      </c>
      <c r="I113" s="95" t="s">
        <v>29</v>
      </c>
      <c r="J113" s="89"/>
      <c r="K113" s="89"/>
      <c r="L113" s="89"/>
      <c r="M113" s="96" t="s">
        <v>921</v>
      </c>
      <c r="N113" s="84"/>
      <c r="O113" s="92">
        <v>1</v>
      </c>
      <c r="P113" s="93" t="s">
        <v>1011</v>
      </c>
      <c r="Q113" s="94" t="s">
        <v>552</v>
      </c>
      <c r="R113" s="92" t="s">
        <v>1009</v>
      </c>
      <c r="S113" s="92" t="s">
        <v>29</v>
      </c>
      <c r="T113" s="92">
        <v>5</v>
      </c>
      <c r="U113" s="95" t="s">
        <v>29</v>
      </c>
    </row>
    <row r="114" spans="1:21" ht="13.2" x14ac:dyDescent="0.25">
      <c r="A114" s="67" t="s">
        <v>919</v>
      </c>
      <c r="B114" s="84"/>
      <c r="C114" s="92">
        <v>2</v>
      </c>
      <c r="D114" s="93" t="s">
        <v>1012</v>
      </c>
      <c r="E114" s="97" t="s">
        <v>226</v>
      </c>
      <c r="F114" s="92" t="s">
        <v>1008</v>
      </c>
      <c r="G114" s="92">
        <v>3</v>
      </c>
      <c r="H114" s="92" t="s">
        <v>29</v>
      </c>
      <c r="I114" s="95" t="s">
        <v>29</v>
      </c>
      <c r="J114" s="89"/>
      <c r="K114" s="89"/>
      <c r="L114" s="89"/>
      <c r="M114" s="96" t="s">
        <v>921</v>
      </c>
      <c r="N114" s="84"/>
      <c r="O114" s="92">
        <v>2</v>
      </c>
      <c r="P114" s="93" t="s">
        <v>1013</v>
      </c>
      <c r="Q114" s="97" t="s">
        <v>591</v>
      </c>
      <c r="R114" s="92" t="s">
        <v>1008</v>
      </c>
      <c r="S114" s="92">
        <v>3</v>
      </c>
      <c r="T114" s="92" t="s">
        <v>29</v>
      </c>
      <c r="U114" s="95" t="s">
        <v>29</v>
      </c>
    </row>
    <row r="115" spans="1:21" ht="13.2" x14ac:dyDescent="0.25">
      <c r="A115" s="67" t="s">
        <v>919</v>
      </c>
      <c r="B115" s="84"/>
      <c r="C115" s="92">
        <v>3</v>
      </c>
      <c r="D115" s="93" t="s">
        <v>1014</v>
      </c>
      <c r="E115" s="97" t="s">
        <v>543</v>
      </c>
      <c r="F115" s="92" t="s">
        <v>1009</v>
      </c>
      <c r="G115" s="92" t="s">
        <v>29</v>
      </c>
      <c r="H115" s="92">
        <v>1</v>
      </c>
      <c r="I115" s="95" t="s">
        <v>29</v>
      </c>
      <c r="J115" s="89"/>
      <c r="K115" s="89"/>
      <c r="L115" s="89"/>
      <c r="M115" s="96" t="s">
        <v>921</v>
      </c>
      <c r="N115" s="84"/>
      <c r="O115" s="92">
        <v>3</v>
      </c>
      <c r="P115" s="93" t="s">
        <v>1015</v>
      </c>
      <c r="Q115" s="97" t="s">
        <v>550</v>
      </c>
      <c r="R115" s="92" t="s">
        <v>1009</v>
      </c>
      <c r="S115" s="92" t="s">
        <v>29</v>
      </c>
      <c r="T115" s="92">
        <v>1</v>
      </c>
      <c r="U115" s="95" t="s">
        <v>29</v>
      </c>
    </row>
    <row r="116" spans="1:21" ht="13.2" x14ac:dyDescent="0.25">
      <c r="A116" s="67" t="s">
        <v>919</v>
      </c>
      <c r="B116" s="84"/>
      <c r="C116" s="92">
        <v>4</v>
      </c>
      <c r="D116" s="93" t="s">
        <v>1016</v>
      </c>
      <c r="E116" s="97" t="s">
        <v>585</v>
      </c>
      <c r="F116" s="92" t="s">
        <v>1008</v>
      </c>
      <c r="G116" s="92" t="s">
        <v>29</v>
      </c>
      <c r="H116" s="92" t="s">
        <v>29</v>
      </c>
      <c r="I116" s="95" t="s">
        <v>29</v>
      </c>
      <c r="J116" s="89"/>
      <c r="K116" s="89"/>
      <c r="L116" s="89"/>
      <c r="M116" s="96" t="s">
        <v>921</v>
      </c>
      <c r="N116" s="84"/>
      <c r="O116" s="92">
        <v>4</v>
      </c>
      <c r="P116" s="93" t="s">
        <v>1017</v>
      </c>
      <c r="Q116" s="97" t="s">
        <v>204</v>
      </c>
      <c r="R116" s="92" t="s">
        <v>1009</v>
      </c>
      <c r="S116" s="92" t="s">
        <v>29</v>
      </c>
      <c r="T116" s="92" t="s">
        <v>29</v>
      </c>
      <c r="U116" s="95" t="s">
        <v>29</v>
      </c>
    </row>
    <row r="117" spans="1:21" ht="13.2" x14ac:dyDescent="0.25">
      <c r="A117" s="67" t="s">
        <v>919</v>
      </c>
      <c r="B117" s="84"/>
      <c r="C117" s="92">
        <v>5</v>
      </c>
      <c r="D117" s="93" t="s">
        <v>1018</v>
      </c>
      <c r="E117" s="97" t="s">
        <v>589</v>
      </c>
      <c r="F117" s="92" t="s">
        <v>1008</v>
      </c>
      <c r="G117" s="92" t="s">
        <v>29</v>
      </c>
      <c r="H117" s="92" t="s">
        <v>29</v>
      </c>
      <c r="I117" s="95" t="s">
        <v>29</v>
      </c>
      <c r="J117" s="89"/>
      <c r="K117" s="89"/>
      <c r="L117" s="89"/>
      <c r="M117" s="96" t="s">
        <v>921</v>
      </c>
      <c r="N117" s="84"/>
      <c r="O117" s="92" t="s">
        <v>1019</v>
      </c>
      <c r="P117" s="93" t="s">
        <v>1020</v>
      </c>
      <c r="Q117" s="97" t="s">
        <v>551</v>
      </c>
      <c r="R117" s="92" t="s">
        <v>1008</v>
      </c>
      <c r="S117" s="92" t="s">
        <v>29</v>
      </c>
      <c r="T117" s="92" t="s">
        <v>29</v>
      </c>
      <c r="U117" s="95" t="s">
        <v>29</v>
      </c>
    </row>
    <row r="118" spans="1:21" ht="13.2" x14ac:dyDescent="0.25">
      <c r="A118" s="67" t="s">
        <v>919</v>
      </c>
      <c r="B118" s="84"/>
      <c r="C118" s="92">
        <v>6</v>
      </c>
      <c r="D118" s="93" t="s">
        <v>1021</v>
      </c>
      <c r="E118" s="97" t="s">
        <v>588</v>
      </c>
      <c r="F118" s="92" t="s">
        <v>1008</v>
      </c>
      <c r="G118" s="92" t="s">
        <v>29</v>
      </c>
      <c r="H118" s="92" t="s">
        <v>29</v>
      </c>
      <c r="I118" s="95" t="s">
        <v>29</v>
      </c>
      <c r="J118" s="89"/>
      <c r="K118" s="89"/>
      <c r="L118" s="89"/>
      <c r="M118" s="96" t="s">
        <v>921</v>
      </c>
      <c r="N118" s="84"/>
      <c r="O118" s="92" t="s">
        <v>1019</v>
      </c>
      <c r="P118" s="93" t="s">
        <v>1022</v>
      </c>
      <c r="Q118" s="97" t="s">
        <v>551</v>
      </c>
      <c r="R118" s="92" t="s">
        <v>1009</v>
      </c>
      <c r="S118" s="92" t="s">
        <v>29</v>
      </c>
      <c r="T118" s="92" t="s">
        <v>29</v>
      </c>
      <c r="U118" s="95" t="s">
        <v>29</v>
      </c>
    </row>
    <row r="119" spans="1:21" ht="13.2" x14ac:dyDescent="0.25">
      <c r="A119" s="67" t="s">
        <v>919</v>
      </c>
      <c r="B119" s="84"/>
      <c r="C119" s="92">
        <v>7</v>
      </c>
      <c r="D119" s="93" t="s">
        <v>1023</v>
      </c>
      <c r="E119" s="97" t="s">
        <v>546</v>
      </c>
      <c r="F119" s="92" t="s">
        <v>1009</v>
      </c>
      <c r="G119" s="92" t="s">
        <v>29</v>
      </c>
      <c r="H119" s="92" t="s">
        <v>29</v>
      </c>
      <c r="I119" s="95" t="s">
        <v>29</v>
      </c>
      <c r="J119" s="89"/>
      <c r="K119" s="89"/>
      <c r="L119" s="89"/>
      <c r="M119" s="96" t="s">
        <v>921</v>
      </c>
      <c r="N119" s="84"/>
      <c r="O119" s="92">
        <v>7</v>
      </c>
      <c r="P119" s="93" t="s">
        <v>1024</v>
      </c>
      <c r="Q119" s="97" t="s">
        <v>202</v>
      </c>
      <c r="R119" s="92" t="s">
        <v>1009</v>
      </c>
      <c r="S119" s="92" t="s">
        <v>29</v>
      </c>
      <c r="T119" s="92" t="s">
        <v>29</v>
      </c>
      <c r="U119" s="95" t="s">
        <v>29</v>
      </c>
    </row>
    <row r="120" spans="1:21" ht="13.2" x14ac:dyDescent="0.25">
      <c r="A120" s="67" t="s">
        <v>919</v>
      </c>
      <c r="B120" s="84"/>
      <c r="C120" s="92">
        <v>8</v>
      </c>
      <c r="D120" s="98" t="s">
        <v>1025</v>
      </c>
      <c r="E120" s="97" t="s">
        <v>586</v>
      </c>
      <c r="F120" s="92" t="s">
        <v>1008</v>
      </c>
      <c r="G120" s="92" t="s">
        <v>29</v>
      </c>
      <c r="H120" s="92" t="s">
        <v>29</v>
      </c>
      <c r="I120" s="95" t="s">
        <v>29</v>
      </c>
      <c r="J120" s="89"/>
      <c r="K120" s="89"/>
      <c r="L120" s="89"/>
      <c r="M120" s="96" t="s">
        <v>921</v>
      </c>
      <c r="N120" s="84"/>
      <c r="O120" s="92">
        <v>8</v>
      </c>
      <c r="P120" s="93" t="s">
        <v>1026</v>
      </c>
      <c r="Q120" s="97" t="s">
        <v>409</v>
      </c>
      <c r="R120" s="92" t="s">
        <v>1009</v>
      </c>
      <c r="S120" s="92" t="s">
        <v>29</v>
      </c>
      <c r="T120" s="92" t="s">
        <v>29</v>
      </c>
      <c r="U120" s="95" t="s">
        <v>29</v>
      </c>
    </row>
    <row r="121" spans="1:21" ht="13.2" x14ac:dyDescent="0.25">
      <c r="A121" s="67" t="s">
        <v>919</v>
      </c>
      <c r="B121" s="84"/>
      <c r="C121" s="92">
        <v>9</v>
      </c>
      <c r="D121" s="98" t="s">
        <v>1027</v>
      </c>
      <c r="E121" s="97" t="s">
        <v>542</v>
      </c>
      <c r="F121" s="92" t="s">
        <v>1009</v>
      </c>
      <c r="G121" s="92" t="s">
        <v>29</v>
      </c>
      <c r="H121" s="92" t="s">
        <v>29</v>
      </c>
      <c r="I121" s="95" t="s">
        <v>29</v>
      </c>
      <c r="J121" s="89"/>
      <c r="K121" s="89"/>
      <c r="L121" s="89"/>
      <c r="M121" s="96" t="s">
        <v>921</v>
      </c>
      <c r="N121" s="84"/>
      <c r="O121" s="92">
        <v>9</v>
      </c>
      <c r="P121" s="93" t="s">
        <v>1028</v>
      </c>
      <c r="Q121" s="97" t="s">
        <v>592</v>
      </c>
      <c r="R121" s="92" t="s">
        <v>1008</v>
      </c>
      <c r="S121" s="92" t="s">
        <v>29</v>
      </c>
      <c r="T121" s="92" t="s">
        <v>29</v>
      </c>
      <c r="U121" s="95" t="s">
        <v>29</v>
      </c>
    </row>
    <row r="122" spans="1:21" ht="13.2" x14ac:dyDescent="0.25">
      <c r="A122" s="67" t="s">
        <v>919</v>
      </c>
      <c r="B122" s="84"/>
      <c r="C122" s="92">
        <v>10</v>
      </c>
      <c r="D122" s="98" t="s">
        <v>1029</v>
      </c>
      <c r="E122" s="97" t="s">
        <v>583</v>
      </c>
      <c r="F122" s="92" t="s">
        <v>1008</v>
      </c>
      <c r="G122" s="92" t="s">
        <v>29</v>
      </c>
      <c r="H122" s="92" t="s">
        <v>29</v>
      </c>
      <c r="I122" s="95" t="s">
        <v>29</v>
      </c>
      <c r="J122" s="89"/>
      <c r="K122" s="89"/>
      <c r="L122" s="89"/>
      <c r="M122" s="96" t="s">
        <v>921</v>
      </c>
      <c r="N122" s="84"/>
      <c r="O122" s="92">
        <v>10</v>
      </c>
      <c r="P122" s="93" t="s">
        <v>1030</v>
      </c>
      <c r="Q122" s="97" t="s">
        <v>142</v>
      </c>
      <c r="R122" s="92" t="s">
        <v>1008</v>
      </c>
      <c r="S122" s="92" t="s">
        <v>29</v>
      </c>
      <c r="T122" s="92" t="s">
        <v>29</v>
      </c>
      <c r="U122" s="95" t="s">
        <v>29</v>
      </c>
    </row>
    <row r="123" spans="1:21" ht="13.2" x14ac:dyDescent="0.25">
      <c r="A123" s="67" t="s">
        <v>919</v>
      </c>
      <c r="B123" s="84"/>
      <c r="C123" s="92">
        <v>11</v>
      </c>
      <c r="D123" s="98" t="s">
        <v>1031</v>
      </c>
      <c r="E123" s="97" t="s">
        <v>348</v>
      </c>
      <c r="F123" s="92" t="s">
        <v>1008</v>
      </c>
      <c r="G123" s="92" t="s">
        <v>29</v>
      </c>
      <c r="H123" s="92" t="s">
        <v>29</v>
      </c>
      <c r="I123" s="95" t="s">
        <v>29</v>
      </c>
      <c r="J123" s="89"/>
      <c r="K123" s="89"/>
      <c r="L123" s="89"/>
      <c r="M123" s="96" t="s">
        <v>921</v>
      </c>
      <c r="N123" s="84"/>
      <c r="O123" s="92">
        <v>11</v>
      </c>
      <c r="P123" s="93" t="s">
        <v>1032</v>
      </c>
      <c r="Q123" s="97" t="s">
        <v>590</v>
      </c>
      <c r="R123" s="92" t="s">
        <v>1008</v>
      </c>
      <c r="S123" s="92" t="s">
        <v>29</v>
      </c>
      <c r="T123" s="92" t="s">
        <v>29</v>
      </c>
      <c r="U123" s="95" t="s">
        <v>29</v>
      </c>
    </row>
    <row r="124" spans="1:21" ht="13.2" x14ac:dyDescent="0.25">
      <c r="A124" s="67" t="s">
        <v>919</v>
      </c>
      <c r="B124" s="84"/>
      <c r="C124" s="92">
        <v>12</v>
      </c>
      <c r="D124" s="98" t="s">
        <v>1033</v>
      </c>
      <c r="E124" s="97" t="s">
        <v>545</v>
      </c>
      <c r="F124" s="92" t="s">
        <v>1009</v>
      </c>
      <c r="G124" s="92" t="s">
        <v>29</v>
      </c>
      <c r="H124" s="92" t="s">
        <v>29</v>
      </c>
      <c r="I124" s="95" t="s">
        <v>29</v>
      </c>
      <c r="J124" s="89"/>
      <c r="K124" s="89"/>
      <c r="L124" s="89"/>
      <c r="M124" s="96" t="s">
        <v>921</v>
      </c>
      <c r="N124" s="84"/>
      <c r="O124" s="92">
        <v>12</v>
      </c>
      <c r="P124" s="98" t="s">
        <v>1034</v>
      </c>
      <c r="Q124" s="97" t="s">
        <v>401</v>
      </c>
      <c r="R124" s="92" t="s">
        <v>1008</v>
      </c>
      <c r="S124" s="92" t="s">
        <v>29</v>
      </c>
      <c r="T124" s="92" t="s">
        <v>29</v>
      </c>
      <c r="U124" s="95" t="s">
        <v>29</v>
      </c>
    </row>
    <row r="125" spans="1:21" ht="13.2" x14ac:dyDescent="0.25">
      <c r="A125" s="67" t="s">
        <v>919</v>
      </c>
      <c r="B125" s="84"/>
      <c r="C125" s="92">
        <v>13</v>
      </c>
      <c r="D125" s="98" t="s">
        <v>1035</v>
      </c>
      <c r="E125" s="97" t="s">
        <v>584</v>
      </c>
      <c r="F125" s="92" t="s">
        <v>1008</v>
      </c>
      <c r="G125" s="92" t="s">
        <v>29</v>
      </c>
      <c r="H125" s="92" t="s">
        <v>29</v>
      </c>
      <c r="I125" s="95" t="s">
        <v>29</v>
      </c>
      <c r="J125" s="89"/>
      <c r="K125" s="89"/>
      <c r="L125" s="89"/>
      <c r="M125" s="96" t="s">
        <v>29</v>
      </c>
      <c r="N125" s="84"/>
      <c r="O125" s="92" t="s">
        <v>29</v>
      </c>
      <c r="P125" s="98" t="s">
        <v>29</v>
      </c>
      <c r="Q125" s="97" t="s">
        <v>29</v>
      </c>
      <c r="R125" s="92" t="s">
        <v>29</v>
      </c>
      <c r="S125" s="92" t="s">
        <v>29</v>
      </c>
      <c r="T125" s="92" t="s">
        <v>29</v>
      </c>
      <c r="U125" s="95" t="s">
        <v>29</v>
      </c>
    </row>
    <row r="126" spans="1:21" ht="13.2" x14ac:dyDescent="0.25">
      <c r="A126" s="67" t="s">
        <v>919</v>
      </c>
      <c r="B126" s="84"/>
      <c r="C126" s="92">
        <v>14</v>
      </c>
      <c r="D126" s="98" t="s">
        <v>1036</v>
      </c>
      <c r="E126" s="97" t="s">
        <v>544</v>
      </c>
      <c r="F126" s="92" t="s">
        <v>1009</v>
      </c>
      <c r="G126" s="92" t="s">
        <v>29</v>
      </c>
      <c r="H126" s="92" t="s">
        <v>29</v>
      </c>
      <c r="I126" s="95" t="s">
        <v>29</v>
      </c>
      <c r="J126" s="89"/>
      <c r="K126" s="89"/>
      <c r="L126" s="89"/>
      <c r="M126" s="96" t="s">
        <v>29</v>
      </c>
      <c r="N126" s="84"/>
      <c r="O126" s="92" t="s">
        <v>29</v>
      </c>
      <c r="P126" s="98" t="s">
        <v>29</v>
      </c>
      <c r="Q126" s="97" t="s">
        <v>29</v>
      </c>
      <c r="R126" s="92" t="s">
        <v>29</v>
      </c>
      <c r="S126" s="92" t="s">
        <v>29</v>
      </c>
      <c r="T126" s="92" t="s">
        <v>29</v>
      </c>
      <c r="U126" s="95" t="s">
        <v>29</v>
      </c>
    </row>
    <row r="127" spans="1:21" ht="13.2" x14ac:dyDescent="0.25">
      <c r="A127" s="67" t="s">
        <v>919</v>
      </c>
      <c r="B127" s="84"/>
      <c r="C127" s="92">
        <v>15</v>
      </c>
      <c r="D127" s="98" t="s">
        <v>1037</v>
      </c>
      <c r="E127" s="97" t="s">
        <v>541</v>
      </c>
      <c r="F127" s="92" t="s">
        <v>1009</v>
      </c>
      <c r="G127" s="92" t="s">
        <v>29</v>
      </c>
      <c r="H127" s="92" t="s">
        <v>29</v>
      </c>
      <c r="I127" s="95" t="s">
        <v>29</v>
      </c>
      <c r="J127" s="89"/>
      <c r="K127" s="89"/>
      <c r="L127" s="89"/>
      <c r="M127" s="96" t="s">
        <v>29</v>
      </c>
      <c r="N127" s="84"/>
      <c r="O127" s="92" t="s">
        <v>29</v>
      </c>
      <c r="P127" s="98" t="s">
        <v>29</v>
      </c>
      <c r="Q127" s="97" t="s">
        <v>29</v>
      </c>
      <c r="R127" s="92" t="s">
        <v>29</v>
      </c>
      <c r="S127" s="92" t="s">
        <v>29</v>
      </c>
      <c r="T127" s="92" t="s">
        <v>29</v>
      </c>
      <c r="U127" s="95" t="s">
        <v>29</v>
      </c>
    </row>
    <row r="128" spans="1:21" ht="13.2" x14ac:dyDescent="0.25">
      <c r="A128" s="67" t="s">
        <v>29</v>
      </c>
      <c r="B128" s="84"/>
      <c r="C128" s="92" t="s">
        <v>29</v>
      </c>
      <c r="D128" s="98" t="s">
        <v>29</v>
      </c>
      <c r="E128" s="97" t="s">
        <v>29</v>
      </c>
      <c r="F128" s="92" t="s">
        <v>29</v>
      </c>
      <c r="G128" s="92" t="s">
        <v>29</v>
      </c>
      <c r="H128" s="92" t="s">
        <v>29</v>
      </c>
      <c r="I128" s="95" t="s">
        <v>29</v>
      </c>
      <c r="J128" s="89"/>
      <c r="K128" s="89"/>
      <c r="L128" s="89"/>
      <c r="M128" s="96" t="s">
        <v>29</v>
      </c>
      <c r="N128" s="84"/>
      <c r="O128" s="92" t="s">
        <v>29</v>
      </c>
      <c r="P128" s="98" t="s">
        <v>29</v>
      </c>
      <c r="Q128" s="97" t="s">
        <v>29</v>
      </c>
      <c r="R128" s="92" t="s">
        <v>29</v>
      </c>
      <c r="S128" s="92" t="s">
        <v>29</v>
      </c>
      <c r="T128" s="92" t="s">
        <v>29</v>
      </c>
      <c r="U128" s="95" t="s">
        <v>29</v>
      </c>
    </row>
    <row r="129" spans="1:21" ht="13.2" x14ac:dyDescent="0.25">
      <c r="A129" s="67" t="s">
        <v>29</v>
      </c>
      <c r="B129" s="84"/>
      <c r="C129" s="92" t="s">
        <v>29</v>
      </c>
      <c r="D129" s="98" t="s">
        <v>29</v>
      </c>
      <c r="E129" s="97" t="s">
        <v>29</v>
      </c>
      <c r="F129" s="92" t="s">
        <v>29</v>
      </c>
      <c r="G129" s="92" t="s">
        <v>29</v>
      </c>
      <c r="H129" s="92" t="s">
        <v>29</v>
      </c>
      <c r="I129" s="95" t="s">
        <v>29</v>
      </c>
      <c r="J129" s="89"/>
      <c r="K129" s="89"/>
      <c r="L129" s="89"/>
      <c r="M129" s="96" t="s">
        <v>29</v>
      </c>
      <c r="N129" s="84"/>
      <c r="O129" s="92" t="s">
        <v>29</v>
      </c>
      <c r="P129" s="98" t="s">
        <v>29</v>
      </c>
      <c r="Q129" s="97" t="s">
        <v>29</v>
      </c>
      <c r="R129" s="92" t="s">
        <v>29</v>
      </c>
      <c r="S129" s="92" t="s">
        <v>29</v>
      </c>
      <c r="T129" s="92" t="s">
        <v>29</v>
      </c>
      <c r="U129" s="95" t="s">
        <v>29</v>
      </c>
    </row>
    <row r="130" spans="1:21" ht="13.2" x14ac:dyDescent="0.25">
      <c r="A130" s="67" t="s">
        <v>29</v>
      </c>
      <c r="B130" s="84"/>
      <c r="C130" s="92" t="s">
        <v>29</v>
      </c>
      <c r="D130" s="98" t="s">
        <v>29</v>
      </c>
      <c r="E130" s="97" t="s">
        <v>29</v>
      </c>
      <c r="F130" s="92" t="s">
        <v>29</v>
      </c>
      <c r="G130" s="92" t="s">
        <v>29</v>
      </c>
      <c r="H130" s="92" t="s">
        <v>29</v>
      </c>
      <c r="I130" s="95" t="s">
        <v>29</v>
      </c>
      <c r="J130" s="89"/>
      <c r="K130" s="89"/>
      <c r="L130" s="89"/>
      <c r="M130" s="96" t="s">
        <v>29</v>
      </c>
      <c r="N130" s="84"/>
      <c r="O130" s="92" t="s">
        <v>29</v>
      </c>
      <c r="P130" s="98" t="s">
        <v>29</v>
      </c>
      <c r="Q130" s="97" t="s">
        <v>29</v>
      </c>
      <c r="R130" s="92" t="s">
        <v>29</v>
      </c>
      <c r="S130" s="92" t="s">
        <v>29</v>
      </c>
      <c r="T130" s="92" t="s">
        <v>29</v>
      </c>
      <c r="U130" s="95" t="s">
        <v>29</v>
      </c>
    </row>
    <row r="131" spans="1:21" ht="13.2" x14ac:dyDescent="0.25">
      <c r="A131" s="67" t="s">
        <v>29</v>
      </c>
      <c r="B131" s="84"/>
      <c r="C131" s="92" t="s">
        <v>29</v>
      </c>
      <c r="D131" s="98" t="s">
        <v>29</v>
      </c>
      <c r="E131" s="97" t="s">
        <v>29</v>
      </c>
      <c r="F131" s="92" t="s">
        <v>29</v>
      </c>
      <c r="G131" s="92" t="s">
        <v>29</v>
      </c>
      <c r="H131" s="92" t="s">
        <v>29</v>
      </c>
      <c r="I131" s="95" t="s">
        <v>29</v>
      </c>
      <c r="J131" s="89"/>
      <c r="K131" s="89"/>
      <c r="L131" s="89"/>
      <c r="M131" s="96" t="s">
        <v>29</v>
      </c>
      <c r="N131" s="84"/>
      <c r="O131" s="92" t="s">
        <v>29</v>
      </c>
      <c r="P131" s="98" t="s">
        <v>29</v>
      </c>
      <c r="Q131" s="97" t="s">
        <v>29</v>
      </c>
      <c r="R131" s="92" t="s">
        <v>29</v>
      </c>
      <c r="S131" s="92" t="s">
        <v>29</v>
      </c>
      <c r="T131" s="92" t="s">
        <v>29</v>
      </c>
      <c r="U131" s="95" t="s">
        <v>29</v>
      </c>
    </row>
    <row r="132" spans="1:21" ht="13.2" x14ac:dyDescent="0.25">
      <c r="A132" s="67" t="s">
        <v>29</v>
      </c>
      <c r="B132" s="84"/>
      <c r="C132" s="92" t="s">
        <v>29</v>
      </c>
      <c r="D132" s="98" t="s">
        <v>29</v>
      </c>
      <c r="E132" s="97" t="s">
        <v>29</v>
      </c>
      <c r="F132" s="92" t="s">
        <v>29</v>
      </c>
      <c r="G132" s="92" t="s">
        <v>29</v>
      </c>
      <c r="H132" s="92" t="s">
        <v>29</v>
      </c>
      <c r="I132" s="95" t="s">
        <v>29</v>
      </c>
      <c r="J132" s="89"/>
      <c r="K132" s="89"/>
      <c r="L132" s="89"/>
      <c r="M132" s="96" t="s">
        <v>29</v>
      </c>
      <c r="N132" s="84"/>
      <c r="O132" s="92" t="s">
        <v>29</v>
      </c>
      <c r="P132" s="98" t="s">
        <v>29</v>
      </c>
      <c r="Q132" s="97" t="s">
        <v>29</v>
      </c>
      <c r="R132" s="92" t="s">
        <v>29</v>
      </c>
      <c r="S132" s="92" t="s">
        <v>29</v>
      </c>
      <c r="T132" s="92" t="s">
        <v>29</v>
      </c>
      <c r="U132" s="95" t="s">
        <v>29</v>
      </c>
    </row>
    <row r="133" spans="1:21" ht="13.2" x14ac:dyDescent="0.25">
      <c r="A133" s="67" t="s">
        <v>29</v>
      </c>
      <c r="B133" s="84"/>
      <c r="C133" s="92" t="s">
        <v>29</v>
      </c>
      <c r="D133" s="98" t="s">
        <v>29</v>
      </c>
      <c r="E133" s="97" t="s">
        <v>29</v>
      </c>
      <c r="F133" s="92" t="s">
        <v>29</v>
      </c>
      <c r="G133" s="92" t="s">
        <v>29</v>
      </c>
      <c r="H133" s="92" t="s">
        <v>29</v>
      </c>
      <c r="I133" s="95" t="s">
        <v>29</v>
      </c>
      <c r="J133" s="89"/>
      <c r="K133" s="89"/>
      <c r="L133" s="89"/>
      <c r="M133" s="96" t="s">
        <v>29</v>
      </c>
      <c r="N133" s="84"/>
      <c r="O133" s="92" t="s">
        <v>29</v>
      </c>
      <c r="P133" s="98" t="s">
        <v>29</v>
      </c>
      <c r="Q133" s="97" t="s">
        <v>29</v>
      </c>
      <c r="R133" s="92" t="s">
        <v>29</v>
      </c>
      <c r="S133" s="92" t="s">
        <v>29</v>
      </c>
      <c r="T133" s="92" t="s">
        <v>29</v>
      </c>
      <c r="U133" s="95" t="s">
        <v>29</v>
      </c>
    </row>
    <row r="134" spans="1:21" ht="13.2" x14ac:dyDescent="0.25">
      <c r="A134" s="67" t="s">
        <v>29</v>
      </c>
      <c r="B134" s="84"/>
      <c r="C134" s="92" t="s">
        <v>29</v>
      </c>
      <c r="D134" s="98" t="s">
        <v>29</v>
      </c>
      <c r="E134" s="97" t="s">
        <v>29</v>
      </c>
      <c r="F134" s="92" t="s">
        <v>29</v>
      </c>
      <c r="G134" s="92" t="s">
        <v>29</v>
      </c>
      <c r="H134" s="92" t="s">
        <v>29</v>
      </c>
      <c r="I134" s="95" t="s">
        <v>29</v>
      </c>
      <c r="J134" s="89"/>
      <c r="K134" s="89"/>
      <c r="L134" s="89"/>
      <c r="M134" s="96" t="s">
        <v>29</v>
      </c>
      <c r="N134" s="84"/>
      <c r="O134" s="92" t="s">
        <v>29</v>
      </c>
      <c r="P134" s="98" t="s">
        <v>29</v>
      </c>
      <c r="Q134" s="97" t="s">
        <v>29</v>
      </c>
      <c r="R134" s="92" t="s">
        <v>29</v>
      </c>
      <c r="S134" s="92" t="s">
        <v>29</v>
      </c>
      <c r="T134" s="92" t="s">
        <v>29</v>
      </c>
      <c r="U134" s="95" t="s">
        <v>29</v>
      </c>
    </row>
    <row r="135" spans="1:21" ht="13.2" x14ac:dyDescent="0.25">
      <c r="A135" s="67" t="s">
        <v>29</v>
      </c>
      <c r="B135" s="84"/>
      <c r="C135" s="92" t="s">
        <v>29</v>
      </c>
      <c r="D135" s="98" t="s">
        <v>29</v>
      </c>
      <c r="E135" s="97" t="s">
        <v>29</v>
      </c>
      <c r="F135" s="92" t="s">
        <v>29</v>
      </c>
      <c r="G135" s="92" t="s">
        <v>29</v>
      </c>
      <c r="H135" s="92" t="s">
        <v>29</v>
      </c>
      <c r="I135" s="95" t="s">
        <v>29</v>
      </c>
      <c r="J135" s="89"/>
      <c r="K135" s="89"/>
      <c r="L135" s="89"/>
      <c r="M135" s="96" t="s">
        <v>29</v>
      </c>
      <c r="N135" s="84"/>
      <c r="O135" s="92" t="s">
        <v>29</v>
      </c>
      <c r="P135" s="98" t="s">
        <v>29</v>
      </c>
      <c r="Q135" s="97" t="s">
        <v>29</v>
      </c>
      <c r="R135" s="92" t="s">
        <v>29</v>
      </c>
      <c r="S135" s="92" t="s">
        <v>29</v>
      </c>
      <c r="T135" s="92" t="s">
        <v>29</v>
      </c>
      <c r="U135" s="95" t="s">
        <v>29</v>
      </c>
    </row>
    <row r="136" spans="1:21" ht="13.2" x14ac:dyDescent="0.25">
      <c r="A136" s="67" t="s">
        <v>29</v>
      </c>
      <c r="B136" s="84"/>
      <c r="C136" s="92" t="s">
        <v>29</v>
      </c>
      <c r="D136" s="98" t="s">
        <v>29</v>
      </c>
      <c r="E136" s="97" t="s">
        <v>29</v>
      </c>
      <c r="F136" s="92" t="s">
        <v>29</v>
      </c>
      <c r="G136" s="92" t="s">
        <v>29</v>
      </c>
      <c r="H136" s="92" t="s">
        <v>29</v>
      </c>
      <c r="I136" s="95" t="s">
        <v>29</v>
      </c>
      <c r="J136" s="89"/>
      <c r="K136" s="89"/>
      <c r="L136" s="89"/>
      <c r="M136" s="96" t="s">
        <v>29</v>
      </c>
      <c r="N136" s="84"/>
      <c r="O136" s="92" t="s">
        <v>29</v>
      </c>
      <c r="P136" s="98" t="s">
        <v>29</v>
      </c>
      <c r="Q136" s="97" t="s">
        <v>29</v>
      </c>
      <c r="R136" s="92" t="s">
        <v>29</v>
      </c>
      <c r="S136" s="92" t="s">
        <v>29</v>
      </c>
      <c r="T136" s="92" t="s">
        <v>29</v>
      </c>
      <c r="U136" s="95" t="s">
        <v>29</v>
      </c>
    </row>
    <row r="137" spans="1:21" ht="13.2" x14ac:dyDescent="0.25">
      <c r="A137" s="67" t="s">
        <v>29</v>
      </c>
      <c r="B137" s="84"/>
      <c r="C137" s="92" t="s">
        <v>29</v>
      </c>
      <c r="D137" s="98" t="s">
        <v>29</v>
      </c>
      <c r="E137" s="97" t="s">
        <v>29</v>
      </c>
      <c r="F137" s="92" t="s">
        <v>29</v>
      </c>
      <c r="G137" s="92" t="s">
        <v>29</v>
      </c>
      <c r="H137" s="92" t="s">
        <v>29</v>
      </c>
      <c r="I137" s="95" t="s">
        <v>29</v>
      </c>
      <c r="J137" s="89"/>
      <c r="K137" s="89"/>
      <c r="L137" s="89"/>
      <c r="M137" s="96" t="s">
        <v>29</v>
      </c>
      <c r="N137" s="84"/>
      <c r="O137" s="92" t="s">
        <v>29</v>
      </c>
      <c r="P137" s="98" t="s">
        <v>29</v>
      </c>
      <c r="Q137" s="97" t="s">
        <v>29</v>
      </c>
      <c r="R137" s="92" t="s">
        <v>29</v>
      </c>
      <c r="S137" s="92" t="s">
        <v>29</v>
      </c>
      <c r="T137" s="92" t="s">
        <v>29</v>
      </c>
      <c r="U137" s="95" t="s">
        <v>29</v>
      </c>
    </row>
    <row r="138" spans="1:21" ht="13.2" x14ac:dyDescent="0.25">
      <c r="A138" s="67" t="s">
        <v>29</v>
      </c>
      <c r="B138" s="84"/>
      <c r="C138" s="219" t="s">
        <v>954</v>
      </c>
      <c r="D138" s="220"/>
      <c r="E138" s="220"/>
      <c r="F138" s="220"/>
      <c r="G138" s="99">
        <v>3</v>
      </c>
      <c r="H138" s="99">
        <v>6</v>
      </c>
      <c r="I138" s="95" t="s">
        <v>29</v>
      </c>
      <c r="J138" s="89"/>
      <c r="K138" s="89"/>
      <c r="L138" s="89"/>
      <c r="M138" s="96" t="s">
        <v>29</v>
      </c>
      <c r="N138" s="84"/>
      <c r="O138" s="219" t="s">
        <v>955</v>
      </c>
      <c r="P138" s="220"/>
      <c r="Q138" s="220"/>
      <c r="R138" s="220"/>
      <c r="S138" s="99">
        <v>3</v>
      </c>
      <c r="T138" s="99">
        <v>6</v>
      </c>
      <c r="U138" s="95" t="s">
        <v>29</v>
      </c>
    </row>
    <row r="139" spans="1:21" ht="13.2" x14ac:dyDescent="0.25">
      <c r="A139" s="67" t="s">
        <v>29</v>
      </c>
      <c r="B139" s="89"/>
      <c r="C139" s="89"/>
      <c r="D139" s="89"/>
      <c r="E139" s="89"/>
      <c r="F139" s="89"/>
      <c r="G139" s="89"/>
      <c r="H139" s="89"/>
      <c r="I139" s="100" t="s">
        <v>29</v>
      </c>
      <c r="J139" s="89"/>
      <c r="K139" s="89"/>
      <c r="L139" s="89"/>
      <c r="M139" s="96" t="s">
        <v>29</v>
      </c>
      <c r="N139" s="89"/>
      <c r="O139" s="89"/>
      <c r="P139" s="89"/>
      <c r="Q139" s="89"/>
      <c r="R139" s="89"/>
      <c r="S139" s="89"/>
      <c r="T139" s="89"/>
      <c r="U139" s="100" t="s">
        <v>29</v>
      </c>
    </row>
    <row r="140" spans="1:21" ht="13.2" x14ac:dyDescent="0.25">
      <c r="A140" s="67" t="s">
        <v>29</v>
      </c>
      <c r="B140" s="101"/>
      <c r="C140" s="101"/>
      <c r="D140" s="101"/>
      <c r="E140" s="101"/>
      <c r="F140" s="101"/>
      <c r="G140" s="101"/>
      <c r="H140" s="101"/>
      <c r="I140" s="102" t="s">
        <v>29</v>
      </c>
      <c r="J140" s="89"/>
      <c r="K140" s="89"/>
      <c r="L140" s="89"/>
      <c r="M140" s="96" t="s">
        <v>29</v>
      </c>
      <c r="N140" s="101"/>
      <c r="O140" s="101"/>
      <c r="P140" s="101"/>
      <c r="Q140" s="101"/>
      <c r="R140" s="101"/>
      <c r="S140" s="101"/>
      <c r="T140" s="101"/>
      <c r="U140" s="102" t="s">
        <v>29</v>
      </c>
    </row>
    <row r="141" spans="1:21" ht="13.2" x14ac:dyDescent="0.25">
      <c r="A141" s="67" t="s">
        <v>923</v>
      </c>
      <c r="B141" s="103"/>
      <c r="C141" s="104" t="s">
        <v>936</v>
      </c>
      <c r="D141" s="105" t="s">
        <v>924</v>
      </c>
      <c r="E141" s="106" t="s">
        <v>2</v>
      </c>
      <c r="F141" s="106" t="s">
        <v>937</v>
      </c>
      <c r="G141" s="106" t="s">
        <v>917</v>
      </c>
      <c r="H141" s="106" t="s">
        <v>918</v>
      </c>
      <c r="I141" s="107" t="s">
        <v>29</v>
      </c>
      <c r="J141" s="89"/>
      <c r="K141" s="89"/>
      <c r="L141" s="89"/>
      <c r="M141" s="90" t="s">
        <v>925</v>
      </c>
      <c r="N141" s="116"/>
      <c r="O141" s="104" t="s">
        <v>936</v>
      </c>
      <c r="P141" s="105" t="s">
        <v>926</v>
      </c>
      <c r="Q141" s="106" t="s">
        <v>2</v>
      </c>
      <c r="R141" s="106" t="s">
        <v>937</v>
      </c>
      <c r="S141" s="106" t="s">
        <v>917</v>
      </c>
      <c r="T141" s="106" t="s">
        <v>918</v>
      </c>
      <c r="U141" s="107" t="s">
        <v>29</v>
      </c>
    </row>
    <row r="142" spans="1:21" ht="13.2" x14ac:dyDescent="0.25">
      <c r="A142" s="67" t="s">
        <v>923</v>
      </c>
      <c r="B142" s="108"/>
      <c r="C142" s="92">
        <v>1</v>
      </c>
      <c r="D142" s="93" t="s">
        <v>1038</v>
      </c>
      <c r="E142" s="94" t="s">
        <v>560</v>
      </c>
      <c r="F142" s="92" t="s">
        <v>1009</v>
      </c>
      <c r="G142" s="92" t="s">
        <v>29</v>
      </c>
      <c r="H142" s="92">
        <v>5</v>
      </c>
      <c r="I142" s="107" t="s">
        <v>29</v>
      </c>
      <c r="J142" s="89"/>
      <c r="K142" s="89"/>
      <c r="L142" s="89"/>
      <c r="M142" s="96" t="s">
        <v>925</v>
      </c>
      <c r="N142" s="108"/>
      <c r="O142" s="92">
        <v>1</v>
      </c>
      <c r="P142" s="93" t="s">
        <v>1039</v>
      </c>
      <c r="Q142" s="94" t="s">
        <v>593</v>
      </c>
      <c r="R142" s="92" t="s">
        <v>1008</v>
      </c>
      <c r="S142" s="92">
        <v>5</v>
      </c>
      <c r="T142" s="92" t="s">
        <v>29</v>
      </c>
      <c r="U142" s="107" t="s">
        <v>64</v>
      </c>
    </row>
    <row r="143" spans="1:21" ht="13.2" x14ac:dyDescent="0.25">
      <c r="A143" s="67" t="s">
        <v>923</v>
      </c>
      <c r="B143" s="108"/>
      <c r="C143" s="92">
        <v>2</v>
      </c>
      <c r="D143" s="93" t="s">
        <v>1040</v>
      </c>
      <c r="E143" s="97" t="s">
        <v>587</v>
      </c>
      <c r="F143" s="92" t="s">
        <v>1008</v>
      </c>
      <c r="G143" s="92">
        <v>3</v>
      </c>
      <c r="H143" s="92" t="s">
        <v>29</v>
      </c>
      <c r="I143" s="107" t="s">
        <v>64</v>
      </c>
      <c r="J143" s="89"/>
      <c r="K143" s="89"/>
      <c r="L143" s="89"/>
      <c r="M143" s="96" t="s">
        <v>925</v>
      </c>
      <c r="N143" s="108"/>
      <c r="O143" s="92">
        <v>2</v>
      </c>
      <c r="P143" s="93" t="s">
        <v>1041</v>
      </c>
      <c r="Q143" s="97" t="s">
        <v>549</v>
      </c>
      <c r="R143" s="92" t="s">
        <v>1009</v>
      </c>
      <c r="S143" s="92" t="s">
        <v>29</v>
      </c>
      <c r="T143" s="92">
        <v>3</v>
      </c>
      <c r="U143" s="107" t="s">
        <v>64</v>
      </c>
    </row>
    <row r="144" spans="1:21" ht="13.2" x14ac:dyDescent="0.25">
      <c r="A144" s="67" t="s">
        <v>923</v>
      </c>
      <c r="B144" s="108"/>
      <c r="C144" s="92">
        <v>3</v>
      </c>
      <c r="D144" s="93" t="s">
        <v>1042</v>
      </c>
      <c r="E144" s="97" t="s">
        <v>559</v>
      </c>
      <c r="F144" s="92" t="s">
        <v>1009</v>
      </c>
      <c r="G144" s="92" t="s">
        <v>29</v>
      </c>
      <c r="H144" s="92">
        <v>1</v>
      </c>
      <c r="I144" s="107" t="s">
        <v>29</v>
      </c>
      <c r="J144" s="89"/>
      <c r="K144" s="89"/>
      <c r="L144" s="89"/>
      <c r="M144" s="96" t="s">
        <v>925</v>
      </c>
      <c r="N144" s="108"/>
      <c r="O144" s="92">
        <v>3</v>
      </c>
      <c r="P144" s="93" t="s">
        <v>1043</v>
      </c>
      <c r="Q144" s="97" t="s">
        <v>601</v>
      </c>
      <c r="R144" s="92" t="s">
        <v>1008</v>
      </c>
      <c r="S144" s="92">
        <v>1</v>
      </c>
      <c r="T144" s="92" t="s">
        <v>29</v>
      </c>
      <c r="U144" s="107" t="s">
        <v>29</v>
      </c>
    </row>
    <row r="145" spans="1:21" ht="13.2" x14ac:dyDescent="0.25">
      <c r="A145" s="67" t="s">
        <v>923</v>
      </c>
      <c r="B145" s="108"/>
      <c r="C145" s="92">
        <v>4</v>
      </c>
      <c r="D145" s="93" t="s">
        <v>1044</v>
      </c>
      <c r="E145" s="97" t="s">
        <v>547</v>
      </c>
      <c r="F145" s="92" t="s">
        <v>1009</v>
      </c>
      <c r="G145" s="92" t="s">
        <v>29</v>
      </c>
      <c r="H145" s="92" t="s">
        <v>29</v>
      </c>
      <c r="I145" s="107" t="s">
        <v>64</v>
      </c>
      <c r="J145" s="89"/>
      <c r="K145" s="89"/>
      <c r="L145" s="89"/>
      <c r="M145" s="96" t="s">
        <v>925</v>
      </c>
      <c r="N145" s="108"/>
      <c r="O145" s="92">
        <v>4</v>
      </c>
      <c r="P145" s="93" t="s">
        <v>1045</v>
      </c>
      <c r="Q145" s="97" t="s">
        <v>561</v>
      </c>
      <c r="R145" s="92" t="s">
        <v>1009</v>
      </c>
      <c r="S145" s="92" t="s">
        <v>29</v>
      </c>
      <c r="T145" s="92" t="s">
        <v>29</v>
      </c>
      <c r="U145" s="107" t="s">
        <v>29</v>
      </c>
    </row>
    <row r="146" spans="1:21" ht="13.2" x14ac:dyDescent="0.25">
      <c r="A146" s="67" t="s">
        <v>923</v>
      </c>
      <c r="B146" s="108"/>
      <c r="C146" s="92">
        <v>5</v>
      </c>
      <c r="D146" s="93" t="s">
        <v>1046</v>
      </c>
      <c r="E146" s="97" t="s">
        <v>600</v>
      </c>
      <c r="F146" s="92" t="s">
        <v>1008</v>
      </c>
      <c r="G146" s="92" t="s">
        <v>29</v>
      </c>
      <c r="H146" s="92" t="s">
        <v>29</v>
      </c>
      <c r="I146" s="107" t="s">
        <v>29</v>
      </c>
      <c r="J146" s="89"/>
      <c r="K146" s="89"/>
      <c r="L146" s="89"/>
      <c r="M146" s="96" t="s">
        <v>925</v>
      </c>
      <c r="N146" s="108"/>
      <c r="O146" s="92">
        <v>5</v>
      </c>
      <c r="P146" s="93" t="s">
        <v>1047</v>
      </c>
      <c r="Q146" s="97" t="s">
        <v>180</v>
      </c>
      <c r="R146" s="92" t="s">
        <v>1009</v>
      </c>
      <c r="S146" s="92" t="s">
        <v>29</v>
      </c>
      <c r="T146" s="92" t="s">
        <v>29</v>
      </c>
      <c r="U146" s="107" t="s">
        <v>64</v>
      </c>
    </row>
    <row r="147" spans="1:21" ht="13.2" x14ac:dyDescent="0.25">
      <c r="A147" s="67" t="s">
        <v>923</v>
      </c>
      <c r="B147" s="108"/>
      <c r="C147" s="92">
        <v>6</v>
      </c>
      <c r="D147" s="93" t="s">
        <v>1048</v>
      </c>
      <c r="E147" s="97" t="s">
        <v>598</v>
      </c>
      <c r="F147" s="92" t="s">
        <v>1008</v>
      </c>
      <c r="G147" s="92" t="s">
        <v>29</v>
      </c>
      <c r="H147" s="92" t="s">
        <v>29</v>
      </c>
      <c r="I147" s="107" t="s">
        <v>29</v>
      </c>
      <c r="J147" s="89"/>
      <c r="K147" s="89"/>
      <c r="L147" s="89"/>
      <c r="M147" s="96" t="s">
        <v>29</v>
      </c>
      <c r="N147" s="108"/>
      <c r="O147" s="92" t="s">
        <v>29</v>
      </c>
      <c r="P147" s="93" t="s">
        <v>29</v>
      </c>
      <c r="Q147" s="97" t="s">
        <v>29</v>
      </c>
      <c r="R147" s="92" t="s">
        <v>29</v>
      </c>
      <c r="S147" s="92" t="s">
        <v>29</v>
      </c>
      <c r="T147" s="92" t="s">
        <v>29</v>
      </c>
      <c r="U147" s="107" t="s">
        <v>29</v>
      </c>
    </row>
    <row r="148" spans="1:21" ht="13.2" x14ac:dyDescent="0.25">
      <c r="A148" s="67" t="s">
        <v>923</v>
      </c>
      <c r="B148" s="108"/>
      <c r="C148" s="92">
        <v>7</v>
      </c>
      <c r="D148" s="93" t="s">
        <v>1049</v>
      </c>
      <c r="E148" s="97" t="s">
        <v>599</v>
      </c>
      <c r="F148" s="92" t="s">
        <v>1008</v>
      </c>
      <c r="G148" s="92" t="s">
        <v>29</v>
      </c>
      <c r="H148" s="92" t="s">
        <v>29</v>
      </c>
      <c r="I148" s="107" t="s">
        <v>29</v>
      </c>
      <c r="J148" s="89"/>
      <c r="K148" s="89"/>
      <c r="L148" s="89"/>
      <c r="M148" s="96" t="s">
        <v>29</v>
      </c>
      <c r="N148" s="108"/>
      <c r="O148" s="92" t="s">
        <v>29</v>
      </c>
      <c r="P148" s="93" t="s">
        <v>29</v>
      </c>
      <c r="Q148" s="97" t="s">
        <v>29</v>
      </c>
      <c r="R148" s="92" t="s">
        <v>29</v>
      </c>
      <c r="S148" s="92" t="s">
        <v>29</v>
      </c>
      <c r="T148" s="92" t="s">
        <v>29</v>
      </c>
      <c r="U148" s="107" t="s">
        <v>29</v>
      </c>
    </row>
    <row r="149" spans="1:21" ht="13.2" x14ac:dyDescent="0.25">
      <c r="A149" s="67" t="s">
        <v>29</v>
      </c>
      <c r="B149" s="108"/>
      <c r="C149" s="92" t="s">
        <v>29</v>
      </c>
      <c r="D149" s="93" t="s">
        <v>29</v>
      </c>
      <c r="E149" s="97" t="s">
        <v>29</v>
      </c>
      <c r="F149" s="92" t="s">
        <v>29</v>
      </c>
      <c r="G149" s="92" t="s">
        <v>29</v>
      </c>
      <c r="H149" s="92" t="s">
        <v>29</v>
      </c>
      <c r="I149" s="107" t="s">
        <v>29</v>
      </c>
      <c r="J149" s="89"/>
      <c r="K149" s="89"/>
      <c r="L149" s="89"/>
      <c r="M149" s="96" t="s">
        <v>29</v>
      </c>
      <c r="N149" s="108"/>
      <c r="O149" s="92" t="s">
        <v>29</v>
      </c>
      <c r="P149" s="93" t="s">
        <v>29</v>
      </c>
      <c r="Q149" s="97" t="s">
        <v>29</v>
      </c>
      <c r="R149" s="92" t="s">
        <v>29</v>
      </c>
      <c r="S149" s="92" t="s">
        <v>29</v>
      </c>
      <c r="T149" s="92" t="s">
        <v>29</v>
      </c>
      <c r="U149" s="107" t="s">
        <v>29</v>
      </c>
    </row>
    <row r="150" spans="1:21" ht="13.2" x14ac:dyDescent="0.25">
      <c r="A150" s="67" t="s">
        <v>29</v>
      </c>
      <c r="B150" s="108"/>
      <c r="C150" s="92" t="s">
        <v>29</v>
      </c>
      <c r="D150" s="93" t="s">
        <v>29</v>
      </c>
      <c r="E150" s="97" t="s">
        <v>29</v>
      </c>
      <c r="F150" s="92" t="s">
        <v>29</v>
      </c>
      <c r="G150" s="92" t="s">
        <v>29</v>
      </c>
      <c r="H150" s="92" t="s">
        <v>29</v>
      </c>
      <c r="I150" s="107" t="s">
        <v>29</v>
      </c>
      <c r="J150" s="89"/>
      <c r="K150" s="89"/>
      <c r="L150" s="89"/>
      <c r="M150" s="96" t="s">
        <v>29</v>
      </c>
      <c r="N150" s="108"/>
      <c r="O150" s="92" t="s">
        <v>29</v>
      </c>
      <c r="P150" s="93" t="s">
        <v>29</v>
      </c>
      <c r="Q150" s="97" t="s">
        <v>29</v>
      </c>
      <c r="R150" s="92" t="s">
        <v>29</v>
      </c>
      <c r="S150" s="92" t="s">
        <v>29</v>
      </c>
      <c r="T150" s="92" t="s">
        <v>29</v>
      </c>
      <c r="U150" s="107" t="s">
        <v>29</v>
      </c>
    </row>
    <row r="151" spans="1:21" ht="13.2" x14ac:dyDescent="0.25">
      <c r="A151" s="67" t="s">
        <v>29</v>
      </c>
      <c r="B151" s="108"/>
      <c r="C151" s="92" t="s">
        <v>29</v>
      </c>
      <c r="D151" s="98" t="s">
        <v>29</v>
      </c>
      <c r="E151" s="97" t="s">
        <v>29</v>
      </c>
      <c r="F151" s="92" t="s">
        <v>29</v>
      </c>
      <c r="G151" s="92" t="s">
        <v>29</v>
      </c>
      <c r="H151" s="92" t="s">
        <v>29</v>
      </c>
      <c r="I151" s="107" t="s">
        <v>29</v>
      </c>
      <c r="J151" s="89"/>
      <c r="K151" s="89"/>
      <c r="L151" s="89"/>
      <c r="M151" s="96" t="s">
        <v>29</v>
      </c>
      <c r="N151" s="108"/>
      <c r="O151" s="92" t="s">
        <v>29</v>
      </c>
      <c r="P151" s="98" t="s">
        <v>29</v>
      </c>
      <c r="Q151" s="97" t="s">
        <v>29</v>
      </c>
      <c r="R151" s="92" t="s">
        <v>29</v>
      </c>
      <c r="S151" s="92" t="s">
        <v>29</v>
      </c>
      <c r="T151" s="92" t="s">
        <v>29</v>
      </c>
      <c r="U151" s="107" t="s">
        <v>29</v>
      </c>
    </row>
    <row r="152" spans="1:21" ht="13.2" x14ac:dyDescent="0.25">
      <c r="A152" s="67" t="s">
        <v>29</v>
      </c>
      <c r="B152" s="108"/>
      <c r="C152" s="92" t="s">
        <v>29</v>
      </c>
      <c r="D152" s="98" t="s">
        <v>29</v>
      </c>
      <c r="E152" s="97" t="s">
        <v>29</v>
      </c>
      <c r="F152" s="92" t="s">
        <v>29</v>
      </c>
      <c r="G152" s="92" t="s">
        <v>29</v>
      </c>
      <c r="H152" s="92" t="s">
        <v>29</v>
      </c>
      <c r="I152" s="107" t="s">
        <v>29</v>
      </c>
      <c r="J152" s="89"/>
      <c r="K152" s="89"/>
      <c r="L152" s="89"/>
      <c r="M152" s="96" t="s">
        <v>29</v>
      </c>
      <c r="N152" s="108"/>
      <c r="O152" s="92" t="s">
        <v>29</v>
      </c>
      <c r="P152" s="98" t="s">
        <v>29</v>
      </c>
      <c r="Q152" s="97" t="s">
        <v>29</v>
      </c>
      <c r="R152" s="92" t="s">
        <v>29</v>
      </c>
      <c r="S152" s="92" t="s">
        <v>29</v>
      </c>
      <c r="T152" s="92" t="s">
        <v>29</v>
      </c>
      <c r="U152" s="107" t="s">
        <v>29</v>
      </c>
    </row>
    <row r="153" spans="1:21" ht="13.2" x14ac:dyDescent="0.25">
      <c r="A153" s="67" t="s">
        <v>29</v>
      </c>
      <c r="B153" s="108"/>
      <c r="C153" s="92" t="s">
        <v>29</v>
      </c>
      <c r="D153" s="98" t="s">
        <v>29</v>
      </c>
      <c r="E153" s="97" t="s">
        <v>29</v>
      </c>
      <c r="F153" s="92" t="s">
        <v>29</v>
      </c>
      <c r="G153" s="92" t="s">
        <v>29</v>
      </c>
      <c r="H153" s="92" t="s">
        <v>29</v>
      </c>
      <c r="I153" s="107" t="s">
        <v>29</v>
      </c>
      <c r="J153" s="89"/>
      <c r="K153" s="89"/>
      <c r="L153" s="89"/>
      <c r="M153" s="96" t="s">
        <v>29</v>
      </c>
      <c r="N153" s="108"/>
      <c r="O153" s="92" t="s">
        <v>29</v>
      </c>
      <c r="P153" s="98" t="s">
        <v>29</v>
      </c>
      <c r="Q153" s="97" t="s">
        <v>29</v>
      </c>
      <c r="R153" s="92" t="s">
        <v>29</v>
      </c>
      <c r="S153" s="92" t="s">
        <v>29</v>
      </c>
      <c r="T153" s="92" t="s">
        <v>29</v>
      </c>
      <c r="U153" s="107" t="s">
        <v>29</v>
      </c>
    </row>
    <row r="154" spans="1:21" ht="13.2" x14ac:dyDescent="0.25">
      <c r="A154" s="67" t="s">
        <v>29</v>
      </c>
      <c r="B154" s="108"/>
      <c r="C154" s="92" t="s">
        <v>29</v>
      </c>
      <c r="D154" s="98" t="s">
        <v>29</v>
      </c>
      <c r="E154" s="97" t="s">
        <v>29</v>
      </c>
      <c r="F154" s="92" t="s">
        <v>29</v>
      </c>
      <c r="G154" s="92" t="s">
        <v>29</v>
      </c>
      <c r="H154" s="92" t="s">
        <v>29</v>
      </c>
      <c r="I154" s="107" t="s">
        <v>29</v>
      </c>
      <c r="J154" s="89"/>
      <c r="K154" s="89"/>
      <c r="L154" s="89"/>
      <c r="M154" s="96" t="s">
        <v>29</v>
      </c>
      <c r="N154" s="108"/>
      <c r="O154" s="92" t="s">
        <v>29</v>
      </c>
      <c r="P154" s="98" t="s">
        <v>29</v>
      </c>
      <c r="Q154" s="97" t="s">
        <v>29</v>
      </c>
      <c r="R154" s="92" t="s">
        <v>29</v>
      </c>
      <c r="S154" s="92" t="s">
        <v>29</v>
      </c>
      <c r="T154" s="92" t="s">
        <v>29</v>
      </c>
      <c r="U154" s="107" t="s">
        <v>29</v>
      </c>
    </row>
    <row r="155" spans="1:21" ht="13.2" x14ac:dyDescent="0.25">
      <c r="A155" s="67" t="s">
        <v>29</v>
      </c>
      <c r="B155" s="108"/>
      <c r="C155" s="92" t="s">
        <v>29</v>
      </c>
      <c r="D155" s="98" t="s">
        <v>29</v>
      </c>
      <c r="E155" s="97" t="s">
        <v>29</v>
      </c>
      <c r="F155" s="92" t="s">
        <v>29</v>
      </c>
      <c r="G155" s="92" t="s">
        <v>29</v>
      </c>
      <c r="H155" s="92" t="s">
        <v>29</v>
      </c>
      <c r="I155" s="107" t="s">
        <v>29</v>
      </c>
      <c r="J155" s="89"/>
      <c r="K155" s="89"/>
      <c r="L155" s="89"/>
      <c r="M155" s="96" t="s">
        <v>29</v>
      </c>
      <c r="N155" s="108"/>
      <c r="O155" s="92" t="s">
        <v>29</v>
      </c>
      <c r="P155" s="98" t="s">
        <v>29</v>
      </c>
      <c r="Q155" s="97" t="s">
        <v>29</v>
      </c>
      <c r="R155" s="92" t="s">
        <v>29</v>
      </c>
      <c r="S155" s="92" t="s">
        <v>29</v>
      </c>
      <c r="T155" s="92" t="s">
        <v>29</v>
      </c>
      <c r="U155" s="107" t="s">
        <v>29</v>
      </c>
    </row>
    <row r="156" spans="1:21" ht="13.2" x14ac:dyDescent="0.25">
      <c r="A156" s="67" t="s">
        <v>29</v>
      </c>
      <c r="B156" s="108"/>
      <c r="C156" s="92" t="s">
        <v>29</v>
      </c>
      <c r="D156" s="98" t="s">
        <v>29</v>
      </c>
      <c r="E156" s="97" t="s">
        <v>29</v>
      </c>
      <c r="F156" s="92" t="s">
        <v>29</v>
      </c>
      <c r="G156" s="92" t="s">
        <v>29</v>
      </c>
      <c r="H156" s="92" t="s">
        <v>29</v>
      </c>
      <c r="I156" s="107" t="s">
        <v>29</v>
      </c>
      <c r="J156" s="89"/>
      <c r="K156" s="89"/>
      <c r="L156" s="89"/>
      <c r="M156" s="96" t="s">
        <v>29</v>
      </c>
      <c r="N156" s="108"/>
      <c r="O156" s="92" t="s">
        <v>29</v>
      </c>
      <c r="P156" s="98" t="s">
        <v>29</v>
      </c>
      <c r="Q156" s="97" t="s">
        <v>29</v>
      </c>
      <c r="R156" s="92" t="s">
        <v>29</v>
      </c>
      <c r="S156" s="92" t="s">
        <v>29</v>
      </c>
      <c r="T156" s="92" t="s">
        <v>29</v>
      </c>
      <c r="U156" s="107" t="s">
        <v>29</v>
      </c>
    </row>
    <row r="157" spans="1:21" ht="13.2" x14ac:dyDescent="0.25">
      <c r="A157" s="67" t="s">
        <v>29</v>
      </c>
      <c r="B157" s="108"/>
      <c r="C157" s="219" t="s">
        <v>971</v>
      </c>
      <c r="D157" s="220"/>
      <c r="E157" s="220"/>
      <c r="F157" s="222"/>
      <c r="G157" s="99">
        <v>3</v>
      </c>
      <c r="H157" s="99">
        <v>6</v>
      </c>
      <c r="I157" s="107" t="s">
        <v>29</v>
      </c>
      <c r="J157" s="89"/>
      <c r="K157" s="89"/>
      <c r="L157" s="89"/>
      <c r="M157" s="96" t="s">
        <v>29</v>
      </c>
      <c r="N157" s="108"/>
      <c r="O157" s="219" t="s">
        <v>972</v>
      </c>
      <c r="P157" s="220"/>
      <c r="Q157" s="220"/>
      <c r="R157" s="222"/>
      <c r="S157" s="99">
        <v>6</v>
      </c>
      <c r="T157" s="99">
        <v>3</v>
      </c>
      <c r="U157" s="107" t="s">
        <v>29</v>
      </c>
    </row>
    <row r="158" spans="1:21" ht="13.2" x14ac:dyDescent="0.25">
      <c r="A158" s="67" t="s">
        <v>29</v>
      </c>
      <c r="B158" s="89"/>
      <c r="C158" s="89"/>
      <c r="D158" s="89"/>
      <c r="E158" s="89"/>
      <c r="F158" s="89"/>
      <c r="G158" s="89"/>
      <c r="H158" s="89"/>
      <c r="I158" s="100" t="s">
        <v>29</v>
      </c>
      <c r="J158" s="89"/>
      <c r="K158" s="89"/>
      <c r="L158" s="89"/>
      <c r="M158" s="96" t="s">
        <v>29</v>
      </c>
      <c r="N158" s="89"/>
      <c r="O158" s="89"/>
      <c r="P158" s="89"/>
      <c r="Q158" s="89"/>
      <c r="R158" s="89"/>
      <c r="S158" s="89"/>
      <c r="T158" s="89"/>
      <c r="U158" s="100" t="s">
        <v>29</v>
      </c>
    </row>
    <row r="159" spans="1:21" ht="13.2" x14ac:dyDescent="0.25">
      <c r="A159" s="67" t="s">
        <v>29</v>
      </c>
      <c r="B159" s="101"/>
      <c r="C159" s="101"/>
      <c r="D159" s="101"/>
      <c r="E159" s="101"/>
      <c r="F159" s="101"/>
      <c r="G159" s="101"/>
      <c r="H159" s="101"/>
      <c r="I159" s="102" t="s">
        <v>29</v>
      </c>
      <c r="J159" s="89"/>
      <c r="K159" s="89"/>
      <c r="L159" s="89"/>
      <c r="M159" s="96" t="s">
        <v>29</v>
      </c>
      <c r="N159" s="101"/>
      <c r="O159" s="101"/>
      <c r="P159" s="101"/>
      <c r="Q159" s="101"/>
      <c r="R159" s="101"/>
      <c r="S159" s="101"/>
      <c r="T159" s="101"/>
      <c r="U159" s="102" t="s">
        <v>29</v>
      </c>
    </row>
    <row r="160" spans="1:21" ht="13.2" x14ac:dyDescent="0.25">
      <c r="A160" s="67" t="s">
        <v>927</v>
      </c>
      <c r="B160" s="111"/>
      <c r="C160" s="112" t="s">
        <v>936</v>
      </c>
      <c r="D160" s="113" t="s">
        <v>928</v>
      </c>
      <c r="E160" s="114" t="s">
        <v>2</v>
      </c>
      <c r="F160" s="114" t="s">
        <v>937</v>
      </c>
      <c r="G160" s="114" t="s">
        <v>917</v>
      </c>
      <c r="H160" s="114" t="s">
        <v>918</v>
      </c>
      <c r="I160" s="95" t="s">
        <v>29</v>
      </c>
      <c r="J160" s="89"/>
      <c r="K160" s="89"/>
      <c r="L160" s="89"/>
      <c r="M160" s="90" t="s">
        <v>929</v>
      </c>
      <c r="N160" s="115"/>
      <c r="O160" s="112" t="s">
        <v>936</v>
      </c>
      <c r="P160" s="113" t="s">
        <v>930</v>
      </c>
      <c r="Q160" s="114" t="s">
        <v>2</v>
      </c>
      <c r="R160" s="114" t="s">
        <v>937</v>
      </c>
      <c r="S160" s="114" t="s">
        <v>917</v>
      </c>
      <c r="T160" s="114" t="s">
        <v>918</v>
      </c>
      <c r="U160" s="95" t="s">
        <v>29</v>
      </c>
    </row>
    <row r="161" spans="1:21" ht="13.2" x14ac:dyDescent="0.25">
      <c r="A161" s="67" t="s">
        <v>927</v>
      </c>
      <c r="B161" s="84"/>
      <c r="C161" s="92">
        <v>1</v>
      </c>
      <c r="D161" s="93" t="s">
        <v>1050</v>
      </c>
      <c r="E161" s="94" t="s">
        <v>594</v>
      </c>
      <c r="F161" s="92" t="s">
        <v>1008</v>
      </c>
      <c r="G161" s="92">
        <v>5</v>
      </c>
      <c r="H161" s="92" t="s">
        <v>29</v>
      </c>
      <c r="I161" s="95" t="s">
        <v>29</v>
      </c>
      <c r="J161" s="89"/>
      <c r="K161" s="89"/>
      <c r="L161" s="89"/>
      <c r="M161" s="96" t="s">
        <v>929</v>
      </c>
      <c r="N161" s="84"/>
      <c r="O161" s="92">
        <v>1</v>
      </c>
      <c r="P161" s="93" t="s">
        <v>1051</v>
      </c>
      <c r="Q161" s="94" t="s">
        <v>556</v>
      </c>
      <c r="R161" s="92" t="s">
        <v>1009</v>
      </c>
      <c r="S161" s="92" t="s">
        <v>29</v>
      </c>
      <c r="T161" s="92">
        <v>5</v>
      </c>
      <c r="U161" s="95" t="s">
        <v>29</v>
      </c>
    </row>
    <row r="162" spans="1:21" ht="13.2" x14ac:dyDescent="0.25">
      <c r="A162" s="67" t="s">
        <v>927</v>
      </c>
      <c r="B162" s="84"/>
      <c r="C162" s="92">
        <v>2</v>
      </c>
      <c r="D162" s="93" t="s">
        <v>1052</v>
      </c>
      <c r="E162" s="97" t="s">
        <v>553</v>
      </c>
      <c r="F162" s="92" t="s">
        <v>1009</v>
      </c>
      <c r="G162" s="92" t="s">
        <v>29</v>
      </c>
      <c r="H162" s="92">
        <v>3</v>
      </c>
      <c r="I162" s="95" t="s">
        <v>29</v>
      </c>
      <c r="J162" s="89"/>
      <c r="K162" s="89"/>
      <c r="L162" s="89"/>
      <c r="M162" s="96" t="s">
        <v>929</v>
      </c>
      <c r="N162" s="84"/>
      <c r="O162" s="92">
        <v>2</v>
      </c>
      <c r="P162" s="93" t="s">
        <v>1053</v>
      </c>
      <c r="Q162" s="97" t="s">
        <v>557</v>
      </c>
      <c r="R162" s="92" t="s">
        <v>1009</v>
      </c>
      <c r="S162" s="92" t="s">
        <v>29</v>
      </c>
      <c r="T162" s="92">
        <v>3</v>
      </c>
      <c r="U162" s="95" t="s">
        <v>29</v>
      </c>
    </row>
    <row r="163" spans="1:21" ht="13.2" x14ac:dyDescent="0.25">
      <c r="A163" s="67" t="s">
        <v>927</v>
      </c>
      <c r="B163" s="84"/>
      <c r="C163" s="92">
        <v>3</v>
      </c>
      <c r="D163" s="93" t="s">
        <v>1054</v>
      </c>
      <c r="E163" s="97" t="s">
        <v>597</v>
      </c>
      <c r="F163" s="92" t="s">
        <v>1008</v>
      </c>
      <c r="G163" s="92">
        <v>1</v>
      </c>
      <c r="H163" s="92" t="s">
        <v>29</v>
      </c>
      <c r="I163" s="95" t="s">
        <v>29</v>
      </c>
      <c r="J163" s="89"/>
      <c r="K163" s="89"/>
      <c r="L163" s="89"/>
      <c r="M163" s="96" t="s">
        <v>929</v>
      </c>
      <c r="N163" s="84"/>
      <c r="O163" s="92">
        <v>3</v>
      </c>
      <c r="P163" s="93" t="s">
        <v>1055</v>
      </c>
      <c r="Q163" s="97" t="s">
        <v>602</v>
      </c>
      <c r="R163" s="92" t="s">
        <v>1008</v>
      </c>
      <c r="S163" s="92">
        <v>1</v>
      </c>
      <c r="T163" s="92" t="s">
        <v>29</v>
      </c>
      <c r="U163" s="95" t="s">
        <v>64</v>
      </c>
    </row>
    <row r="164" spans="1:21" ht="13.2" x14ac:dyDescent="0.25">
      <c r="A164" s="67" t="s">
        <v>927</v>
      </c>
      <c r="B164" s="84"/>
      <c r="C164" s="92">
        <v>4</v>
      </c>
      <c r="D164" s="93" t="s">
        <v>1056</v>
      </c>
      <c r="E164" s="97" t="s">
        <v>554</v>
      </c>
      <c r="F164" s="92" t="s">
        <v>1009</v>
      </c>
      <c r="G164" s="92" t="s">
        <v>29</v>
      </c>
      <c r="H164" s="92" t="s">
        <v>29</v>
      </c>
      <c r="I164" s="95" t="s">
        <v>29</v>
      </c>
      <c r="J164" s="89"/>
      <c r="K164" s="89"/>
      <c r="L164" s="89"/>
      <c r="M164" s="96" t="s">
        <v>929</v>
      </c>
      <c r="N164" s="84"/>
      <c r="O164" s="92">
        <v>4</v>
      </c>
      <c r="P164" s="93" t="s">
        <v>1057</v>
      </c>
      <c r="Q164" s="97" t="s">
        <v>558</v>
      </c>
      <c r="R164" s="92" t="s">
        <v>1009</v>
      </c>
      <c r="S164" s="92" t="s">
        <v>29</v>
      </c>
      <c r="T164" s="92" t="s">
        <v>29</v>
      </c>
      <c r="U164" s="95" t="s">
        <v>29</v>
      </c>
    </row>
    <row r="165" spans="1:21" ht="13.2" x14ac:dyDescent="0.25">
      <c r="A165" s="67" t="s">
        <v>927</v>
      </c>
      <c r="B165" s="84"/>
      <c r="C165" s="92">
        <v>5</v>
      </c>
      <c r="D165" s="93" t="s">
        <v>1058</v>
      </c>
      <c r="E165" s="97" t="s">
        <v>595</v>
      </c>
      <c r="F165" s="92" t="s">
        <v>1008</v>
      </c>
      <c r="G165" s="92" t="s">
        <v>29</v>
      </c>
      <c r="H165" s="92" t="s">
        <v>29</v>
      </c>
      <c r="I165" s="95" t="s">
        <v>29</v>
      </c>
      <c r="J165" s="89"/>
      <c r="K165" s="89"/>
      <c r="L165" s="89"/>
      <c r="M165" s="96" t="s">
        <v>929</v>
      </c>
      <c r="N165" s="84"/>
      <c r="O165" s="92">
        <v>5</v>
      </c>
      <c r="P165" s="93" t="s">
        <v>1059</v>
      </c>
      <c r="Q165" s="97" t="s">
        <v>555</v>
      </c>
      <c r="R165" s="92" t="s">
        <v>1009</v>
      </c>
      <c r="S165" s="92" t="s">
        <v>29</v>
      </c>
      <c r="T165" s="92" t="s">
        <v>29</v>
      </c>
      <c r="U165" s="95" t="s">
        <v>29</v>
      </c>
    </row>
    <row r="166" spans="1:21" ht="13.2" x14ac:dyDescent="0.25">
      <c r="A166" s="67" t="s">
        <v>29</v>
      </c>
      <c r="B166" s="84"/>
      <c r="C166" s="92" t="s">
        <v>29</v>
      </c>
      <c r="D166" s="93" t="s">
        <v>29</v>
      </c>
      <c r="E166" s="97" t="s">
        <v>29</v>
      </c>
      <c r="F166" s="92" t="s">
        <v>29</v>
      </c>
      <c r="G166" s="92" t="s">
        <v>29</v>
      </c>
      <c r="H166" s="92" t="s">
        <v>29</v>
      </c>
      <c r="I166" s="95" t="s">
        <v>29</v>
      </c>
      <c r="J166" s="89"/>
      <c r="K166" s="89"/>
      <c r="L166" s="89"/>
      <c r="M166" s="96" t="s">
        <v>29</v>
      </c>
      <c r="N166" s="84"/>
      <c r="O166" s="92" t="s">
        <v>29</v>
      </c>
      <c r="P166" s="93" t="s">
        <v>29</v>
      </c>
      <c r="Q166" s="97" t="s">
        <v>29</v>
      </c>
      <c r="R166" s="92" t="s">
        <v>29</v>
      </c>
      <c r="S166" s="92" t="s">
        <v>29</v>
      </c>
      <c r="T166" s="92" t="s">
        <v>29</v>
      </c>
      <c r="U166" s="95" t="s">
        <v>29</v>
      </c>
    </row>
    <row r="167" spans="1:21" ht="13.2" x14ac:dyDescent="0.25">
      <c r="A167" s="67" t="s">
        <v>29</v>
      </c>
      <c r="B167" s="84"/>
      <c r="C167" s="92" t="s">
        <v>29</v>
      </c>
      <c r="D167" s="93" t="s">
        <v>29</v>
      </c>
      <c r="E167" s="97" t="s">
        <v>29</v>
      </c>
      <c r="F167" s="92" t="s">
        <v>29</v>
      </c>
      <c r="G167" s="92" t="s">
        <v>29</v>
      </c>
      <c r="H167" s="92" t="s">
        <v>29</v>
      </c>
      <c r="I167" s="95" t="s">
        <v>29</v>
      </c>
      <c r="J167" s="89"/>
      <c r="K167" s="89"/>
      <c r="L167" s="89"/>
      <c r="M167" s="96" t="s">
        <v>29</v>
      </c>
      <c r="N167" s="84"/>
      <c r="O167" s="92" t="s">
        <v>29</v>
      </c>
      <c r="P167" s="93" t="s">
        <v>29</v>
      </c>
      <c r="Q167" s="97" t="s">
        <v>29</v>
      </c>
      <c r="R167" s="92" t="s">
        <v>29</v>
      </c>
      <c r="S167" s="92" t="s">
        <v>29</v>
      </c>
      <c r="T167" s="92" t="s">
        <v>29</v>
      </c>
      <c r="U167" s="95" t="s">
        <v>29</v>
      </c>
    </row>
    <row r="168" spans="1:21" ht="13.2" x14ac:dyDescent="0.25">
      <c r="A168" s="67" t="s">
        <v>29</v>
      </c>
      <c r="B168" s="84"/>
      <c r="C168" s="92" t="s">
        <v>29</v>
      </c>
      <c r="D168" s="98" t="s">
        <v>29</v>
      </c>
      <c r="E168" s="97" t="s">
        <v>29</v>
      </c>
      <c r="F168" s="92" t="s">
        <v>29</v>
      </c>
      <c r="G168" s="92" t="s">
        <v>29</v>
      </c>
      <c r="H168" s="92" t="s">
        <v>29</v>
      </c>
      <c r="I168" s="95" t="s">
        <v>29</v>
      </c>
      <c r="J168" s="89"/>
      <c r="K168" s="89"/>
      <c r="L168" s="89"/>
      <c r="M168" s="96" t="s">
        <v>29</v>
      </c>
      <c r="N168" s="84"/>
      <c r="O168" s="92" t="s">
        <v>29</v>
      </c>
      <c r="P168" s="98" t="s">
        <v>29</v>
      </c>
      <c r="Q168" s="97" t="s">
        <v>29</v>
      </c>
      <c r="R168" s="92" t="s">
        <v>29</v>
      </c>
      <c r="S168" s="92" t="s">
        <v>29</v>
      </c>
      <c r="T168" s="92" t="s">
        <v>29</v>
      </c>
      <c r="U168" s="95" t="s">
        <v>29</v>
      </c>
    </row>
    <row r="169" spans="1:21" ht="13.2" x14ac:dyDescent="0.25">
      <c r="A169" s="67" t="s">
        <v>29</v>
      </c>
      <c r="B169" s="84"/>
      <c r="C169" s="92" t="s">
        <v>29</v>
      </c>
      <c r="D169" s="98" t="s">
        <v>29</v>
      </c>
      <c r="E169" s="97" t="s">
        <v>29</v>
      </c>
      <c r="F169" s="92" t="s">
        <v>29</v>
      </c>
      <c r="G169" s="92" t="s">
        <v>29</v>
      </c>
      <c r="H169" s="92" t="s">
        <v>29</v>
      </c>
      <c r="I169" s="95" t="s">
        <v>29</v>
      </c>
      <c r="J169" s="89"/>
      <c r="K169" s="89"/>
      <c r="L169" s="89"/>
      <c r="M169" s="96" t="s">
        <v>29</v>
      </c>
      <c r="N169" s="84"/>
      <c r="O169" s="92" t="s">
        <v>29</v>
      </c>
      <c r="P169" s="98" t="s">
        <v>29</v>
      </c>
      <c r="Q169" s="97" t="s">
        <v>29</v>
      </c>
      <c r="R169" s="92" t="s">
        <v>29</v>
      </c>
      <c r="S169" s="92" t="s">
        <v>29</v>
      </c>
      <c r="T169" s="92" t="s">
        <v>29</v>
      </c>
      <c r="U169" s="95" t="s">
        <v>29</v>
      </c>
    </row>
    <row r="170" spans="1:21" ht="13.2" x14ac:dyDescent="0.25">
      <c r="A170" s="67"/>
      <c r="B170" s="84"/>
      <c r="C170" s="92" t="s">
        <v>29</v>
      </c>
      <c r="D170" s="98" t="s">
        <v>29</v>
      </c>
      <c r="E170" s="97" t="s">
        <v>29</v>
      </c>
      <c r="F170" s="92" t="s">
        <v>29</v>
      </c>
      <c r="G170" s="92" t="s">
        <v>29</v>
      </c>
      <c r="H170" s="92" t="s">
        <v>29</v>
      </c>
      <c r="I170" s="95" t="s">
        <v>29</v>
      </c>
      <c r="J170" s="89"/>
      <c r="K170" s="89"/>
      <c r="L170" s="89"/>
      <c r="M170" s="96"/>
      <c r="N170" s="84"/>
      <c r="O170" s="92" t="s">
        <v>29</v>
      </c>
      <c r="P170" s="98" t="s">
        <v>29</v>
      </c>
      <c r="Q170" s="97" t="s">
        <v>29</v>
      </c>
      <c r="R170" s="92" t="s">
        <v>29</v>
      </c>
      <c r="S170" s="92" t="s">
        <v>29</v>
      </c>
      <c r="T170" s="92" t="s">
        <v>29</v>
      </c>
      <c r="U170" s="95" t="s">
        <v>29</v>
      </c>
    </row>
    <row r="171" spans="1:21" ht="13.2" x14ac:dyDescent="0.25">
      <c r="A171" s="67"/>
      <c r="B171" s="84"/>
      <c r="C171" s="92" t="s">
        <v>29</v>
      </c>
      <c r="D171" s="98" t="s">
        <v>29</v>
      </c>
      <c r="E171" s="97" t="s">
        <v>29</v>
      </c>
      <c r="F171" s="92" t="s">
        <v>29</v>
      </c>
      <c r="G171" s="92" t="s">
        <v>29</v>
      </c>
      <c r="H171" s="92" t="s">
        <v>29</v>
      </c>
      <c r="I171" s="95" t="s">
        <v>29</v>
      </c>
      <c r="J171" s="89"/>
      <c r="K171" s="89"/>
      <c r="L171" s="89"/>
      <c r="M171" s="96"/>
      <c r="N171" s="84"/>
      <c r="O171" s="92" t="s">
        <v>29</v>
      </c>
      <c r="P171" s="98" t="s">
        <v>29</v>
      </c>
      <c r="Q171" s="97" t="s">
        <v>29</v>
      </c>
      <c r="R171" s="92" t="s">
        <v>29</v>
      </c>
      <c r="S171" s="92" t="s">
        <v>29</v>
      </c>
      <c r="T171" s="92" t="s">
        <v>29</v>
      </c>
      <c r="U171" s="95" t="s">
        <v>29</v>
      </c>
    </row>
    <row r="172" spans="1:21" ht="13.2" x14ac:dyDescent="0.25">
      <c r="A172" s="67"/>
      <c r="B172" s="84"/>
      <c r="C172" s="92" t="s">
        <v>29</v>
      </c>
      <c r="D172" s="98" t="s">
        <v>29</v>
      </c>
      <c r="E172" s="97" t="s">
        <v>29</v>
      </c>
      <c r="F172" s="92" t="s">
        <v>29</v>
      </c>
      <c r="G172" s="92" t="s">
        <v>29</v>
      </c>
      <c r="H172" s="92" t="s">
        <v>29</v>
      </c>
      <c r="I172" s="95" t="s">
        <v>29</v>
      </c>
      <c r="J172" s="89"/>
      <c r="K172" s="89"/>
      <c r="L172" s="89"/>
      <c r="M172" s="96"/>
      <c r="N172" s="84"/>
      <c r="O172" s="92" t="s">
        <v>29</v>
      </c>
      <c r="P172" s="98" t="s">
        <v>29</v>
      </c>
      <c r="Q172" s="97" t="s">
        <v>29</v>
      </c>
      <c r="R172" s="92" t="s">
        <v>29</v>
      </c>
      <c r="S172" s="92" t="s">
        <v>29</v>
      </c>
      <c r="T172" s="92" t="s">
        <v>29</v>
      </c>
      <c r="U172" s="95" t="s">
        <v>29</v>
      </c>
    </row>
    <row r="173" spans="1:21" ht="13.2" x14ac:dyDescent="0.25">
      <c r="A173" s="67"/>
      <c r="B173" s="84"/>
      <c r="C173" s="92" t="s">
        <v>29</v>
      </c>
      <c r="D173" s="98" t="s">
        <v>29</v>
      </c>
      <c r="E173" s="97" t="s">
        <v>29</v>
      </c>
      <c r="F173" s="92" t="s">
        <v>29</v>
      </c>
      <c r="G173" s="92" t="s">
        <v>29</v>
      </c>
      <c r="H173" s="92" t="s">
        <v>29</v>
      </c>
      <c r="I173" s="95" t="s">
        <v>29</v>
      </c>
      <c r="J173" s="89"/>
      <c r="K173" s="89"/>
      <c r="L173" s="89"/>
      <c r="M173" s="96"/>
      <c r="N173" s="84"/>
      <c r="O173" s="92" t="s">
        <v>29</v>
      </c>
      <c r="P173" s="98" t="s">
        <v>29</v>
      </c>
      <c r="Q173" s="97" t="s">
        <v>29</v>
      </c>
      <c r="R173" s="92" t="s">
        <v>29</v>
      </c>
      <c r="S173" s="92" t="s">
        <v>29</v>
      </c>
      <c r="T173" s="92" t="s">
        <v>29</v>
      </c>
      <c r="U173" s="95" t="s">
        <v>29</v>
      </c>
    </row>
    <row r="174" spans="1:21" ht="13.2" x14ac:dyDescent="0.25">
      <c r="A174" s="67"/>
      <c r="B174" s="84"/>
      <c r="C174" s="92" t="s">
        <v>29</v>
      </c>
      <c r="D174" s="98" t="s">
        <v>29</v>
      </c>
      <c r="E174" s="97" t="s">
        <v>29</v>
      </c>
      <c r="F174" s="92" t="s">
        <v>29</v>
      </c>
      <c r="G174" s="92" t="s">
        <v>29</v>
      </c>
      <c r="H174" s="92" t="s">
        <v>29</v>
      </c>
      <c r="I174" s="95" t="s">
        <v>29</v>
      </c>
      <c r="J174" s="89"/>
      <c r="K174" s="89"/>
      <c r="L174" s="89"/>
      <c r="M174" s="96"/>
      <c r="N174" s="84"/>
      <c r="O174" s="92" t="s">
        <v>29</v>
      </c>
      <c r="P174" s="98" t="s">
        <v>29</v>
      </c>
      <c r="Q174" s="97" t="s">
        <v>29</v>
      </c>
      <c r="R174" s="92" t="s">
        <v>29</v>
      </c>
      <c r="S174" s="92" t="s">
        <v>29</v>
      </c>
      <c r="T174" s="92" t="s">
        <v>29</v>
      </c>
      <c r="U174" s="95" t="s">
        <v>29</v>
      </c>
    </row>
    <row r="175" spans="1:21" ht="13.2" x14ac:dyDescent="0.25">
      <c r="A175" s="67" t="s">
        <v>29</v>
      </c>
      <c r="B175" s="84"/>
      <c r="C175" s="92" t="s">
        <v>29</v>
      </c>
      <c r="D175" s="98" t="s">
        <v>29</v>
      </c>
      <c r="E175" s="97" t="s">
        <v>29</v>
      </c>
      <c r="F175" s="92" t="s">
        <v>29</v>
      </c>
      <c r="G175" s="92" t="s">
        <v>29</v>
      </c>
      <c r="H175" s="92" t="s">
        <v>29</v>
      </c>
      <c r="I175" s="95" t="s">
        <v>29</v>
      </c>
      <c r="J175" s="89"/>
      <c r="K175" s="89"/>
      <c r="L175" s="89"/>
      <c r="M175" s="96" t="s">
        <v>29</v>
      </c>
      <c r="N175" s="84"/>
      <c r="O175" s="92" t="s">
        <v>29</v>
      </c>
      <c r="P175" s="98" t="s">
        <v>29</v>
      </c>
      <c r="Q175" s="97" t="s">
        <v>29</v>
      </c>
      <c r="R175" s="92" t="s">
        <v>29</v>
      </c>
      <c r="S175" s="92" t="s">
        <v>29</v>
      </c>
      <c r="T175" s="92" t="s">
        <v>29</v>
      </c>
      <c r="U175" s="95" t="s">
        <v>29</v>
      </c>
    </row>
    <row r="176" spans="1:21" ht="13.2" x14ac:dyDescent="0.25">
      <c r="A176" s="67" t="s">
        <v>29</v>
      </c>
      <c r="B176" s="84"/>
      <c r="C176" s="219" t="s">
        <v>984</v>
      </c>
      <c r="D176" s="220"/>
      <c r="E176" s="220"/>
      <c r="F176" s="220"/>
      <c r="G176" s="99">
        <v>6</v>
      </c>
      <c r="H176" s="99">
        <v>3</v>
      </c>
      <c r="I176" s="95" t="s">
        <v>29</v>
      </c>
      <c r="J176" s="89"/>
      <c r="K176" s="89"/>
      <c r="L176" s="89"/>
      <c r="M176" s="96" t="s">
        <v>29</v>
      </c>
      <c r="N176" s="84"/>
      <c r="O176" s="219" t="s">
        <v>985</v>
      </c>
      <c r="P176" s="220"/>
      <c r="Q176" s="220"/>
      <c r="R176" s="220"/>
      <c r="S176" s="99">
        <v>1</v>
      </c>
      <c r="T176" s="99">
        <v>8</v>
      </c>
      <c r="U176" s="95" t="s">
        <v>29</v>
      </c>
    </row>
    <row r="177" spans="1:21" ht="13.2" x14ac:dyDescent="0.25">
      <c r="A177" s="67" t="s">
        <v>29</v>
      </c>
      <c r="B177" s="89"/>
      <c r="C177" s="89"/>
      <c r="D177" s="89"/>
      <c r="E177" s="89"/>
      <c r="F177" s="89"/>
      <c r="G177" s="89"/>
      <c r="H177" s="89"/>
      <c r="I177" s="100" t="s">
        <v>29</v>
      </c>
      <c r="J177" s="89"/>
      <c r="K177" s="89"/>
      <c r="L177" s="89"/>
      <c r="M177" s="96" t="s">
        <v>29</v>
      </c>
      <c r="N177" s="89"/>
      <c r="O177" s="89"/>
      <c r="P177" s="89"/>
      <c r="Q177" s="89"/>
      <c r="R177" s="89"/>
      <c r="S177" s="89"/>
      <c r="T177" s="89"/>
      <c r="U177" s="100" t="s">
        <v>29</v>
      </c>
    </row>
    <row r="178" spans="1:21" ht="13.2" x14ac:dyDescent="0.25">
      <c r="A178" s="67" t="s">
        <v>29</v>
      </c>
      <c r="B178" s="101"/>
      <c r="C178" s="101"/>
      <c r="D178" s="101"/>
      <c r="E178" s="101"/>
      <c r="F178" s="101"/>
      <c r="G178" s="101"/>
      <c r="H178" s="101"/>
      <c r="I178" s="102" t="s">
        <v>29</v>
      </c>
      <c r="J178" s="89"/>
      <c r="K178" s="89"/>
      <c r="L178" s="89"/>
      <c r="M178" s="96" t="s">
        <v>29</v>
      </c>
      <c r="N178" s="101"/>
      <c r="O178" s="101"/>
      <c r="P178" s="101"/>
      <c r="Q178" s="101"/>
      <c r="R178" s="101"/>
      <c r="S178" s="101"/>
      <c r="T178" s="101"/>
      <c r="U178" s="102" t="s">
        <v>29</v>
      </c>
    </row>
    <row r="179" spans="1:21" ht="13.2" x14ac:dyDescent="0.25">
      <c r="A179" s="67" t="s">
        <v>931</v>
      </c>
      <c r="B179" s="103"/>
      <c r="C179" s="104" t="s">
        <v>936</v>
      </c>
      <c r="D179" s="105" t="s">
        <v>932</v>
      </c>
      <c r="E179" s="106" t="s">
        <v>2</v>
      </c>
      <c r="F179" s="106" t="s">
        <v>937</v>
      </c>
      <c r="G179" s="106" t="s">
        <v>917</v>
      </c>
      <c r="H179" s="106" t="s">
        <v>918</v>
      </c>
      <c r="I179" s="107" t="s">
        <v>29</v>
      </c>
      <c r="J179" s="89"/>
      <c r="K179" s="89"/>
      <c r="L179" s="89"/>
      <c r="M179" s="90" t="s">
        <v>933</v>
      </c>
      <c r="N179" s="116"/>
      <c r="O179" s="104" t="s">
        <v>936</v>
      </c>
      <c r="P179" s="105" t="s">
        <v>934</v>
      </c>
      <c r="Q179" s="106" t="s">
        <v>2</v>
      </c>
      <c r="R179" s="106" t="s">
        <v>937</v>
      </c>
      <c r="S179" s="106" t="s">
        <v>917</v>
      </c>
      <c r="T179" s="106" t="s">
        <v>918</v>
      </c>
      <c r="U179" s="107" t="s">
        <v>29</v>
      </c>
    </row>
    <row r="180" spans="1:21" ht="13.2" x14ac:dyDescent="0.25">
      <c r="A180" s="67" t="s">
        <v>931</v>
      </c>
      <c r="B180" s="108"/>
      <c r="C180" s="92">
        <v>1</v>
      </c>
      <c r="D180" s="93" t="s">
        <v>1060</v>
      </c>
      <c r="E180" s="94" t="s">
        <v>563</v>
      </c>
      <c r="F180" s="92" t="s">
        <v>1009</v>
      </c>
      <c r="G180" s="92" t="s">
        <v>29</v>
      </c>
      <c r="H180" s="92">
        <v>5</v>
      </c>
      <c r="I180" s="107" t="s">
        <v>29</v>
      </c>
      <c r="J180" s="89"/>
      <c r="K180" s="89"/>
      <c r="L180" s="89"/>
      <c r="M180" s="96" t="s">
        <v>933</v>
      </c>
      <c r="N180" s="108"/>
      <c r="O180" s="92">
        <v>1</v>
      </c>
      <c r="P180" s="93" t="s">
        <v>1061</v>
      </c>
      <c r="Q180" s="94" t="s">
        <v>566</v>
      </c>
      <c r="R180" s="92" t="s">
        <v>1009</v>
      </c>
      <c r="S180" s="92" t="s">
        <v>29</v>
      </c>
      <c r="T180" s="92">
        <v>5</v>
      </c>
      <c r="U180" s="107" t="s">
        <v>29</v>
      </c>
    </row>
    <row r="181" spans="1:21" ht="13.2" x14ac:dyDescent="0.25">
      <c r="A181" s="67" t="s">
        <v>931</v>
      </c>
      <c r="B181" s="108"/>
      <c r="C181" s="92">
        <v>2</v>
      </c>
      <c r="D181" s="93" t="s">
        <v>1062</v>
      </c>
      <c r="E181" s="97" t="s">
        <v>564</v>
      </c>
      <c r="F181" s="92" t="s">
        <v>1009</v>
      </c>
      <c r="G181" s="92" t="s">
        <v>29</v>
      </c>
      <c r="H181" s="92">
        <v>3</v>
      </c>
      <c r="I181" s="107" t="s">
        <v>29</v>
      </c>
      <c r="J181" s="89"/>
      <c r="K181" s="89"/>
      <c r="L181" s="89"/>
      <c r="M181" s="96" t="s">
        <v>933</v>
      </c>
      <c r="N181" s="108"/>
      <c r="O181" s="92">
        <v>2</v>
      </c>
      <c r="P181" s="93" t="s">
        <v>1063</v>
      </c>
      <c r="Q181" s="97" t="s">
        <v>568</v>
      </c>
      <c r="R181" s="92" t="s">
        <v>1009</v>
      </c>
      <c r="S181" s="92" t="s">
        <v>29</v>
      </c>
      <c r="T181" s="92">
        <v>3</v>
      </c>
      <c r="U181" s="107" t="s">
        <v>29</v>
      </c>
    </row>
    <row r="182" spans="1:21" ht="26.4" x14ac:dyDescent="0.25">
      <c r="A182" s="67" t="s">
        <v>931</v>
      </c>
      <c r="B182" s="108"/>
      <c r="C182" s="92">
        <v>3</v>
      </c>
      <c r="D182" s="93" t="s">
        <v>1064</v>
      </c>
      <c r="E182" s="97" t="s">
        <v>603</v>
      </c>
      <c r="F182" s="92" t="s">
        <v>1008</v>
      </c>
      <c r="G182" s="92">
        <v>1</v>
      </c>
      <c r="H182" s="92" t="s">
        <v>29</v>
      </c>
      <c r="I182" s="107" t="s">
        <v>29</v>
      </c>
      <c r="J182" s="89"/>
      <c r="K182" s="89"/>
      <c r="L182" s="89"/>
      <c r="M182" s="96" t="s">
        <v>933</v>
      </c>
      <c r="N182" s="108"/>
      <c r="O182" s="92">
        <v>3</v>
      </c>
      <c r="P182" s="93" t="s">
        <v>1065</v>
      </c>
      <c r="Q182" s="97" t="s">
        <v>567</v>
      </c>
      <c r="R182" s="92" t="s">
        <v>1009</v>
      </c>
      <c r="S182" s="92" t="s">
        <v>29</v>
      </c>
      <c r="T182" s="92">
        <v>1</v>
      </c>
      <c r="U182" s="107" t="s">
        <v>29</v>
      </c>
    </row>
    <row r="183" spans="1:21" ht="13.2" x14ac:dyDescent="0.25">
      <c r="A183" s="67" t="s">
        <v>931</v>
      </c>
      <c r="B183" s="108"/>
      <c r="C183" s="92">
        <v>4</v>
      </c>
      <c r="D183" s="93" t="s">
        <v>1066</v>
      </c>
      <c r="E183" s="97" t="s">
        <v>129</v>
      </c>
      <c r="F183" s="92" t="s">
        <v>1008</v>
      </c>
      <c r="G183" s="92" t="s">
        <v>29</v>
      </c>
      <c r="H183" s="92" t="s">
        <v>29</v>
      </c>
      <c r="I183" s="107" t="s">
        <v>64</v>
      </c>
      <c r="J183" s="89"/>
      <c r="K183" s="89"/>
      <c r="L183" s="89"/>
      <c r="M183" s="96" t="s">
        <v>933</v>
      </c>
      <c r="N183" s="108"/>
      <c r="O183" s="92">
        <v>4</v>
      </c>
      <c r="P183" s="93" t="s">
        <v>1067</v>
      </c>
      <c r="Q183" s="97" t="s">
        <v>604</v>
      </c>
      <c r="R183" s="92" t="s">
        <v>1008</v>
      </c>
      <c r="S183" s="92" t="s">
        <v>29</v>
      </c>
      <c r="T183" s="92" t="s">
        <v>29</v>
      </c>
      <c r="U183" s="107" t="s">
        <v>29</v>
      </c>
    </row>
    <row r="184" spans="1:21" ht="13.2" x14ac:dyDescent="0.25">
      <c r="A184" s="67" t="s">
        <v>931</v>
      </c>
      <c r="B184" s="108"/>
      <c r="C184" s="92">
        <v>5</v>
      </c>
      <c r="D184" s="93" t="s">
        <v>1068</v>
      </c>
      <c r="E184" s="97" t="s">
        <v>596</v>
      </c>
      <c r="F184" s="92" t="s">
        <v>1008</v>
      </c>
      <c r="G184" s="92" t="s">
        <v>29</v>
      </c>
      <c r="H184" s="92" t="s">
        <v>29</v>
      </c>
      <c r="I184" s="107" t="s">
        <v>64</v>
      </c>
      <c r="J184" s="89"/>
      <c r="K184" s="89"/>
      <c r="L184" s="89"/>
      <c r="M184" s="96" t="s">
        <v>29</v>
      </c>
      <c r="N184" s="108"/>
      <c r="O184" s="92" t="s">
        <v>29</v>
      </c>
      <c r="P184" s="98" t="s">
        <v>29</v>
      </c>
      <c r="Q184" s="97" t="s">
        <v>29</v>
      </c>
      <c r="R184" s="92" t="s">
        <v>29</v>
      </c>
      <c r="S184" s="92" t="s">
        <v>29</v>
      </c>
      <c r="T184" s="92" t="s">
        <v>29</v>
      </c>
      <c r="U184" s="107" t="s">
        <v>29</v>
      </c>
    </row>
    <row r="185" spans="1:21" ht="13.2" x14ac:dyDescent="0.25">
      <c r="A185" s="67" t="s">
        <v>931</v>
      </c>
      <c r="B185" s="108"/>
      <c r="C185" s="92">
        <v>6</v>
      </c>
      <c r="D185" s="93" t="s">
        <v>1069</v>
      </c>
      <c r="E185" s="97" t="s">
        <v>565</v>
      </c>
      <c r="F185" s="92" t="s">
        <v>1009</v>
      </c>
      <c r="G185" s="92" t="s">
        <v>29</v>
      </c>
      <c r="H185" s="92" t="s">
        <v>29</v>
      </c>
      <c r="I185" s="107" t="s">
        <v>29</v>
      </c>
      <c r="J185" s="89"/>
      <c r="K185" s="89"/>
      <c r="L185" s="89"/>
      <c r="M185" s="96" t="s">
        <v>29</v>
      </c>
      <c r="N185" s="108"/>
      <c r="O185" s="92" t="s">
        <v>29</v>
      </c>
      <c r="P185" s="98" t="s">
        <v>29</v>
      </c>
      <c r="Q185" s="97" t="s">
        <v>29</v>
      </c>
      <c r="R185" s="92" t="s">
        <v>29</v>
      </c>
      <c r="S185" s="92" t="s">
        <v>29</v>
      </c>
      <c r="T185" s="92" t="s">
        <v>29</v>
      </c>
      <c r="U185" s="107" t="s">
        <v>29</v>
      </c>
    </row>
    <row r="186" spans="1:21" ht="13.2" x14ac:dyDescent="0.25">
      <c r="A186" s="67" t="s">
        <v>931</v>
      </c>
      <c r="B186" s="108"/>
      <c r="C186" s="92">
        <v>7</v>
      </c>
      <c r="D186" s="98" t="s">
        <v>1070</v>
      </c>
      <c r="E186" s="97" t="s">
        <v>562</v>
      </c>
      <c r="F186" s="92" t="s">
        <v>1009</v>
      </c>
      <c r="G186" s="92" t="s">
        <v>29</v>
      </c>
      <c r="H186" s="92" t="s">
        <v>29</v>
      </c>
      <c r="I186" s="107" t="s">
        <v>29</v>
      </c>
      <c r="J186" s="89"/>
      <c r="K186" s="89"/>
      <c r="L186" s="89"/>
      <c r="M186" s="96" t="s">
        <v>29</v>
      </c>
      <c r="N186" s="108"/>
      <c r="O186" s="92" t="s">
        <v>29</v>
      </c>
      <c r="P186" s="98" t="s">
        <v>29</v>
      </c>
      <c r="Q186" s="97" t="s">
        <v>29</v>
      </c>
      <c r="R186" s="92" t="s">
        <v>29</v>
      </c>
      <c r="S186" s="92" t="s">
        <v>29</v>
      </c>
      <c r="T186" s="92" t="s">
        <v>29</v>
      </c>
      <c r="U186" s="107" t="s">
        <v>29</v>
      </c>
    </row>
    <row r="187" spans="1:21" ht="13.2" x14ac:dyDescent="0.25">
      <c r="A187" s="67" t="s">
        <v>29</v>
      </c>
      <c r="B187" s="108"/>
      <c r="C187" s="92" t="s">
        <v>29</v>
      </c>
      <c r="D187" s="98" t="s">
        <v>29</v>
      </c>
      <c r="E187" s="97" t="s">
        <v>29</v>
      </c>
      <c r="F187" s="92" t="s">
        <v>29</v>
      </c>
      <c r="G187" s="92" t="s">
        <v>29</v>
      </c>
      <c r="H187" s="92" t="s">
        <v>29</v>
      </c>
      <c r="I187" s="107" t="s">
        <v>29</v>
      </c>
      <c r="J187" s="89"/>
      <c r="K187" s="89"/>
      <c r="L187" s="89"/>
      <c r="M187" s="96" t="s">
        <v>29</v>
      </c>
      <c r="N187" s="108"/>
      <c r="O187" s="92" t="s">
        <v>29</v>
      </c>
      <c r="P187" s="98" t="s">
        <v>29</v>
      </c>
      <c r="Q187" s="97" t="s">
        <v>29</v>
      </c>
      <c r="R187" s="92" t="s">
        <v>29</v>
      </c>
      <c r="S187" s="92" t="s">
        <v>29</v>
      </c>
      <c r="T187" s="92" t="s">
        <v>29</v>
      </c>
      <c r="U187" s="107" t="s">
        <v>29</v>
      </c>
    </row>
    <row r="188" spans="1:21" ht="13.2" x14ac:dyDescent="0.25">
      <c r="A188" s="67"/>
      <c r="B188" s="108"/>
      <c r="C188" s="92" t="s">
        <v>29</v>
      </c>
      <c r="D188" s="98" t="s">
        <v>29</v>
      </c>
      <c r="E188" s="97" t="s">
        <v>29</v>
      </c>
      <c r="F188" s="92" t="s">
        <v>29</v>
      </c>
      <c r="G188" s="92" t="s">
        <v>29</v>
      </c>
      <c r="H188" s="92" t="s">
        <v>29</v>
      </c>
      <c r="I188" s="107" t="s">
        <v>29</v>
      </c>
      <c r="J188" s="89"/>
      <c r="K188" s="89"/>
      <c r="L188" s="89"/>
      <c r="M188" s="96"/>
      <c r="N188" s="108"/>
      <c r="O188" s="92" t="s">
        <v>29</v>
      </c>
      <c r="P188" s="98" t="s">
        <v>29</v>
      </c>
      <c r="Q188" s="97" t="s">
        <v>29</v>
      </c>
      <c r="R188" s="92" t="s">
        <v>29</v>
      </c>
      <c r="S188" s="92" t="s">
        <v>29</v>
      </c>
      <c r="T188" s="92" t="s">
        <v>29</v>
      </c>
      <c r="U188" s="107" t="s">
        <v>29</v>
      </c>
    </row>
    <row r="189" spans="1:21" ht="13.2" x14ac:dyDescent="0.25">
      <c r="A189" s="67"/>
      <c r="B189" s="108"/>
      <c r="C189" s="92" t="s">
        <v>29</v>
      </c>
      <c r="D189" s="98" t="s">
        <v>29</v>
      </c>
      <c r="E189" s="97" t="s">
        <v>29</v>
      </c>
      <c r="F189" s="92" t="s">
        <v>29</v>
      </c>
      <c r="G189" s="92" t="s">
        <v>29</v>
      </c>
      <c r="H189" s="92" t="s">
        <v>29</v>
      </c>
      <c r="I189" s="107" t="s">
        <v>29</v>
      </c>
      <c r="J189" s="89"/>
      <c r="K189" s="89"/>
      <c r="L189" s="89"/>
      <c r="M189" s="96"/>
      <c r="N189" s="108"/>
      <c r="O189" s="92" t="s">
        <v>29</v>
      </c>
      <c r="P189" s="98" t="s">
        <v>29</v>
      </c>
      <c r="Q189" s="97" t="s">
        <v>29</v>
      </c>
      <c r="R189" s="92" t="s">
        <v>29</v>
      </c>
      <c r="S189" s="92" t="s">
        <v>29</v>
      </c>
      <c r="T189" s="92" t="s">
        <v>29</v>
      </c>
      <c r="U189" s="107" t="s">
        <v>29</v>
      </c>
    </row>
    <row r="190" spans="1:21" ht="13.2" x14ac:dyDescent="0.25">
      <c r="A190" s="67"/>
      <c r="B190" s="108"/>
      <c r="C190" s="92" t="s">
        <v>29</v>
      </c>
      <c r="D190" s="98" t="s">
        <v>29</v>
      </c>
      <c r="E190" s="97" t="s">
        <v>29</v>
      </c>
      <c r="F190" s="92" t="s">
        <v>29</v>
      </c>
      <c r="G190" s="92" t="s">
        <v>29</v>
      </c>
      <c r="H190" s="92" t="s">
        <v>29</v>
      </c>
      <c r="I190" s="107" t="s">
        <v>29</v>
      </c>
      <c r="J190" s="89"/>
      <c r="K190" s="89"/>
      <c r="L190" s="89"/>
      <c r="M190" s="96"/>
      <c r="N190" s="108"/>
      <c r="O190" s="92" t="s">
        <v>29</v>
      </c>
      <c r="P190" s="98" t="s">
        <v>29</v>
      </c>
      <c r="Q190" s="97" t="s">
        <v>29</v>
      </c>
      <c r="R190" s="92" t="s">
        <v>29</v>
      </c>
      <c r="S190" s="92" t="s">
        <v>29</v>
      </c>
      <c r="T190" s="92" t="s">
        <v>29</v>
      </c>
      <c r="U190" s="107" t="s">
        <v>29</v>
      </c>
    </row>
    <row r="191" spans="1:21" ht="13.2" x14ac:dyDescent="0.25">
      <c r="A191" s="67"/>
      <c r="B191" s="108"/>
      <c r="C191" s="92" t="s">
        <v>29</v>
      </c>
      <c r="D191" s="98" t="s">
        <v>29</v>
      </c>
      <c r="E191" s="97" t="s">
        <v>29</v>
      </c>
      <c r="F191" s="92" t="s">
        <v>29</v>
      </c>
      <c r="G191" s="92" t="s">
        <v>29</v>
      </c>
      <c r="H191" s="92" t="s">
        <v>29</v>
      </c>
      <c r="I191" s="107" t="s">
        <v>29</v>
      </c>
      <c r="J191" s="89"/>
      <c r="K191" s="89"/>
      <c r="L191" s="89"/>
      <c r="M191" s="96"/>
      <c r="N191" s="108"/>
      <c r="O191" s="92" t="s">
        <v>29</v>
      </c>
      <c r="P191" s="98" t="s">
        <v>29</v>
      </c>
      <c r="Q191" s="97" t="s">
        <v>29</v>
      </c>
      <c r="R191" s="92" t="s">
        <v>29</v>
      </c>
      <c r="S191" s="92" t="s">
        <v>29</v>
      </c>
      <c r="T191" s="92" t="s">
        <v>29</v>
      </c>
      <c r="U191" s="107" t="s">
        <v>29</v>
      </c>
    </row>
    <row r="192" spans="1:21" ht="13.2" x14ac:dyDescent="0.25">
      <c r="A192" s="67"/>
      <c r="B192" s="108"/>
      <c r="C192" s="92" t="s">
        <v>29</v>
      </c>
      <c r="D192" s="98" t="s">
        <v>29</v>
      </c>
      <c r="E192" s="97" t="s">
        <v>29</v>
      </c>
      <c r="F192" s="92" t="s">
        <v>29</v>
      </c>
      <c r="G192" s="92" t="s">
        <v>29</v>
      </c>
      <c r="H192" s="92" t="s">
        <v>29</v>
      </c>
      <c r="I192" s="107" t="s">
        <v>29</v>
      </c>
      <c r="J192" s="89"/>
      <c r="K192" s="89"/>
      <c r="L192" s="89"/>
      <c r="M192" s="96"/>
      <c r="N192" s="108"/>
      <c r="O192" s="92" t="s">
        <v>29</v>
      </c>
      <c r="P192" s="98" t="s">
        <v>29</v>
      </c>
      <c r="Q192" s="97" t="s">
        <v>29</v>
      </c>
      <c r="R192" s="92" t="s">
        <v>29</v>
      </c>
      <c r="S192" s="92" t="s">
        <v>29</v>
      </c>
      <c r="T192" s="92" t="s">
        <v>29</v>
      </c>
      <c r="U192" s="107" t="s">
        <v>29</v>
      </c>
    </row>
    <row r="193" spans="1:21" ht="13.2" x14ac:dyDescent="0.25">
      <c r="A193" s="67" t="s">
        <v>29</v>
      </c>
      <c r="B193" s="108"/>
      <c r="C193" s="92" t="s">
        <v>29</v>
      </c>
      <c r="D193" s="98" t="s">
        <v>29</v>
      </c>
      <c r="E193" s="97" t="s">
        <v>29</v>
      </c>
      <c r="F193" s="92" t="s">
        <v>29</v>
      </c>
      <c r="G193" s="92" t="s">
        <v>29</v>
      </c>
      <c r="H193" s="92" t="s">
        <v>29</v>
      </c>
      <c r="I193" s="107" t="s">
        <v>29</v>
      </c>
      <c r="J193" s="89"/>
      <c r="K193" s="89"/>
      <c r="L193" s="89"/>
      <c r="M193" s="96" t="s">
        <v>29</v>
      </c>
      <c r="N193" s="108"/>
      <c r="O193" s="92" t="s">
        <v>29</v>
      </c>
      <c r="P193" s="98" t="s">
        <v>29</v>
      </c>
      <c r="Q193" s="97" t="s">
        <v>29</v>
      </c>
      <c r="R193" s="92" t="s">
        <v>29</v>
      </c>
      <c r="S193" s="92" t="s">
        <v>29</v>
      </c>
      <c r="T193" s="92" t="s">
        <v>29</v>
      </c>
      <c r="U193" s="107" t="s">
        <v>29</v>
      </c>
    </row>
    <row r="194" spans="1:21" ht="13.2" x14ac:dyDescent="0.25">
      <c r="A194" s="67" t="s">
        <v>29</v>
      </c>
      <c r="B194" s="108"/>
      <c r="C194" s="92" t="s">
        <v>29</v>
      </c>
      <c r="D194" s="98" t="s">
        <v>29</v>
      </c>
      <c r="E194" s="97" t="s">
        <v>29</v>
      </c>
      <c r="F194" s="92" t="s">
        <v>29</v>
      </c>
      <c r="G194" s="92" t="s">
        <v>29</v>
      </c>
      <c r="H194" s="92" t="s">
        <v>29</v>
      </c>
      <c r="I194" s="107" t="s">
        <v>29</v>
      </c>
      <c r="J194" s="89"/>
      <c r="K194" s="89"/>
      <c r="L194" s="89"/>
      <c r="M194" s="96" t="s">
        <v>29</v>
      </c>
      <c r="N194" s="108"/>
      <c r="O194" s="92" t="s">
        <v>29</v>
      </c>
      <c r="P194" s="98" t="s">
        <v>29</v>
      </c>
      <c r="Q194" s="97" t="s">
        <v>29</v>
      </c>
      <c r="R194" s="92" t="s">
        <v>29</v>
      </c>
      <c r="S194" s="92" t="s">
        <v>29</v>
      </c>
      <c r="T194" s="92" t="s">
        <v>29</v>
      </c>
      <c r="U194" s="107" t="s">
        <v>29</v>
      </c>
    </row>
    <row r="195" spans="1:21" ht="13.2" x14ac:dyDescent="0.25">
      <c r="A195" s="67" t="s">
        <v>29</v>
      </c>
      <c r="B195" s="108"/>
      <c r="C195" s="219" t="s">
        <v>995</v>
      </c>
      <c r="D195" s="220"/>
      <c r="E195" s="220"/>
      <c r="F195" s="220"/>
      <c r="G195" s="99">
        <v>1</v>
      </c>
      <c r="H195" s="99">
        <v>8</v>
      </c>
      <c r="I195" s="107" t="s">
        <v>29</v>
      </c>
      <c r="J195" s="89"/>
      <c r="K195" s="89"/>
      <c r="L195" s="89"/>
      <c r="M195" s="96" t="s">
        <v>29</v>
      </c>
      <c r="N195" s="108"/>
      <c r="O195" s="219" t="s">
        <v>996</v>
      </c>
      <c r="P195" s="220"/>
      <c r="Q195" s="220"/>
      <c r="R195" s="220"/>
      <c r="S195" s="99">
        <v>0</v>
      </c>
      <c r="T195" s="99">
        <v>9</v>
      </c>
      <c r="U195" s="107" t="s">
        <v>29</v>
      </c>
    </row>
    <row r="196" spans="1:21" ht="13.2" x14ac:dyDescent="0.25">
      <c r="A196" s="67"/>
      <c r="B196" s="66"/>
      <c r="C196" s="117"/>
      <c r="D196" s="66"/>
      <c r="E196" s="66"/>
      <c r="F196" s="66"/>
      <c r="G196" s="66"/>
      <c r="H196" s="66"/>
      <c r="I196" s="117" t="s">
        <v>29</v>
      </c>
      <c r="J196" s="66"/>
      <c r="K196" s="66"/>
      <c r="L196" s="66"/>
      <c r="M196" s="74"/>
      <c r="N196" s="66"/>
      <c r="O196" s="66"/>
      <c r="P196" s="66"/>
      <c r="Q196" s="66"/>
      <c r="R196" s="66"/>
      <c r="S196" s="66"/>
      <c r="T196" s="66"/>
      <c r="U196" s="117" t="s">
        <v>29</v>
      </c>
    </row>
    <row r="197" spans="1:21" ht="13.2" x14ac:dyDescent="0.25">
      <c r="A197" s="67"/>
      <c r="B197" s="66"/>
      <c r="C197" s="118" t="s">
        <v>997</v>
      </c>
      <c r="D197" s="89"/>
      <c r="E197" s="89"/>
      <c r="F197" s="89"/>
      <c r="G197" s="89"/>
      <c r="H197" s="89"/>
      <c r="I197" s="100" t="s">
        <v>29</v>
      </c>
      <c r="J197" s="89"/>
      <c r="K197" s="89"/>
      <c r="L197" s="89"/>
      <c r="M197" s="96"/>
      <c r="N197" s="119"/>
      <c r="O197" s="120" t="s">
        <v>998</v>
      </c>
      <c r="P197" s="119"/>
      <c r="Q197" s="221" t="s">
        <v>1071</v>
      </c>
      <c r="R197" s="220"/>
      <c r="S197" s="220"/>
      <c r="T197" s="222"/>
      <c r="U197" s="117" t="s">
        <v>29</v>
      </c>
    </row>
    <row r="198" spans="1:21" ht="13.2" x14ac:dyDescent="0.25">
      <c r="A198" s="67"/>
      <c r="B198" s="66"/>
      <c r="C198" s="245" t="s">
        <v>1072</v>
      </c>
      <c r="D198" s="227"/>
      <c r="E198" s="227"/>
      <c r="F198" s="227"/>
      <c r="G198" s="227"/>
      <c r="H198" s="228"/>
      <c r="I198" s="100" t="s">
        <v>29</v>
      </c>
      <c r="J198" s="89"/>
      <c r="K198" s="89"/>
      <c r="L198" s="89"/>
      <c r="M198" s="96"/>
      <c r="N198" s="119"/>
      <c r="O198" s="120" t="s">
        <v>1001</v>
      </c>
      <c r="P198" s="121"/>
      <c r="Q198" s="221" t="s">
        <v>1073</v>
      </c>
      <c r="R198" s="220"/>
      <c r="S198" s="220"/>
      <c r="T198" s="222"/>
      <c r="U198" s="117" t="s">
        <v>29</v>
      </c>
    </row>
    <row r="199" spans="1:21" ht="13.2" x14ac:dyDescent="0.25">
      <c r="A199" s="67"/>
      <c r="B199" s="66"/>
      <c r="C199" s="231"/>
      <c r="D199" s="232"/>
      <c r="E199" s="232"/>
      <c r="F199" s="232"/>
      <c r="G199" s="232"/>
      <c r="H199" s="233"/>
      <c r="I199" s="100" t="s">
        <v>29</v>
      </c>
      <c r="J199" s="89"/>
      <c r="K199" s="89"/>
      <c r="L199" s="89"/>
      <c r="M199" s="96"/>
      <c r="N199" s="119"/>
      <c r="O199" s="120"/>
      <c r="P199" s="121"/>
      <c r="Q199" s="223"/>
      <c r="R199" s="224"/>
      <c r="S199" s="224"/>
      <c r="T199" s="224"/>
      <c r="U199" s="117" t="s">
        <v>29</v>
      </c>
    </row>
    <row r="200" spans="1:21" ht="13.2" x14ac:dyDescent="0.25">
      <c r="A200" s="67"/>
      <c r="B200" s="66"/>
      <c r="C200" s="118" t="s">
        <v>1003</v>
      </c>
      <c r="D200" s="122"/>
      <c r="E200" s="225" t="s">
        <v>1073</v>
      </c>
      <c r="F200" s="220"/>
      <c r="G200" s="220"/>
      <c r="H200" s="222"/>
      <c r="I200" s="100" t="s">
        <v>29</v>
      </c>
      <c r="J200" s="89"/>
      <c r="K200" s="89"/>
      <c r="L200" s="89"/>
      <c r="M200" s="96"/>
      <c r="N200" s="119"/>
      <c r="O200" s="118" t="s">
        <v>1004</v>
      </c>
      <c r="P200" s="122"/>
      <c r="Q200" s="225" t="s">
        <v>1074</v>
      </c>
      <c r="R200" s="220"/>
      <c r="S200" s="220"/>
      <c r="T200" s="222"/>
      <c r="U200" s="117" t="s">
        <v>29</v>
      </c>
    </row>
    <row r="201" spans="1:21" ht="13.2" x14ac:dyDescent="0.25">
      <c r="A201" s="67"/>
      <c r="B201" s="66"/>
      <c r="C201" s="118" t="s">
        <v>1006</v>
      </c>
      <c r="D201" s="122"/>
      <c r="E201" s="122"/>
      <c r="F201" s="122"/>
      <c r="G201" s="122"/>
      <c r="H201" s="122"/>
      <c r="I201" s="100" t="s">
        <v>29</v>
      </c>
      <c r="J201" s="89"/>
      <c r="K201" s="89"/>
      <c r="L201" s="89"/>
      <c r="M201" s="96"/>
      <c r="N201" s="119"/>
      <c r="O201" s="120" t="s">
        <v>1007</v>
      </c>
      <c r="P201" s="121"/>
      <c r="Q201" s="121"/>
      <c r="R201" s="121"/>
      <c r="S201" s="121"/>
      <c r="T201" s="121"/>
      <c r="U201" s="117" t="s">
        <v>29</v>
      </c>
    </row>
    <row r="202" spans="1:21" ht="13.2" x14ac:dyDescent="0.25">
      <c r="A202" s="67"/>
      <c r="B202" s="66"/>
      <c r="C202" s="242"/>
      <c r="D202" s="227"/>
      <c r="E202" s="227"/>
      <c r="F202" s="227"/>
      <c r="G202" s="227"/>
      <c r="H202" s="228"/>
      <c r="I202" s="117" t="s">
        <v>29</v>
      </c>
      <c r="J202" s="66"/>
      <c r="K202" s="66"/>
      <c r="L202" s="66"/>
      <c r="M202" s="74"/>
      <c r="N202" s="123"/>
      <c r="O202" s="226"/>
      <c r="P202" s="227"/>
      <c r="Q202" s="227"/>
      <c r="R202" s="227"/>
      <c r="S202" s="227"/>
      <c r="T202" s="228"/>
      <c r="U202" s="117" t="s">
        <v>29</v>
      </c>
    </row>
    <row r="203" spans="1:21" ht="13.2" x14ac:dyDescent="0.25">
      <c r="A203" s="67"/>
      <c r="B203" s="66"/>
      <c r="C203" s="229"/>
      <c r="D203" s="224"/>
      <c r="E203" s="224"/>
      <c r="F203" s="224"/>
      <c r="G203" s="224"/>
      <c r="H203" s="230"/>
      <c r="I203" s="117" t="s">
        <v>29</v>
      </c>
      <c r="J203" s="66"/>
      <c r="K203" s="66"/>
      <c r="L203" s="66"/>
      <c r="M203" s="74"/>
      <c r="N203" s="123"/>
      <c r="O203" s="229"/>
      <c r="P203" s="224"/>
      <c r="Q203" s="224"/>
      <c r="R203" s="224"/>
      <c r="S203" s="224"/>
      <c r="T203" s="230"/>
      <c r="U203" s="117" t="s">
        <v>29</v>
      </c>
    </row>
    <row r="204" spans="1:21" ht="13.2" x14ac:dyDescent="0.25">
      <c r="A204" s="67"/>
      <c r="B204" s="66"/>
      <c r="C204" s="229"/>
      <c r="D204" s="224"/>
      <c r="E204" s="224"/>
      <c r="F204" s="224"/>
      <c r="G204" s="224"/>
      <c r="H204" s="230"/>
      <c r="I204" s="117" t="s">
        <v>29</v>
      </c>
      <c r="J204" s="66"/>
      <c r="K204" s="66"/>
      <c r="L204" s="66"/>
      <c r="M204" s="74"/>
      <c r="N204" s="123"/>
      <c r="O204" s="229"/>
      <c r="P204" s="224"/>
      <c r="Q204" s="224"/>
      <c r="R204" s="224"/>
      <c r="S204" s="224"/>
      <c r="T204" s="230"/>
      <c r="U204" s="117" t="s">
        <v>29</v>
      </c>
    </row>
    <row r="205" spans="1:21" ht="13.2" x14ac:dyDescent="0.25">
      <c r="A205" s="67"/>
      <c r="B205" s="66"/>
      <c r="C205" s="231"/>
      <c r="D205" s="232"/>
      <c r="E205" s="232"/>
      <c r="F205" s="232"/>
      <c r="G205" s="232"/>
      <c r="H205" s="233"/>
      <c r="I205" s="117" t="s">
        <v>29</v>
      </c>
      <c r="J205" s="66"/>
      <c r="K205" s="66"/>
      <c r="L205" s="66"/>
      <c r="M205" s="74"/>
      <c r="N205" s="123"/>
      <c r="O205" s="231"/>
      <c r="P205" s="232"/>
      <c r="Q205" s="232"/>
      <c r="R205" s="232"/>
      <c r="S205" s="232"/>
      <c r="T205" s="233"/>
      <c r="U205" s="117" t="s">
        <v>29</v>
      </c>
    </row>
    <row r="206" spans="1:21" ht="13.2" x14ac:dyDescent="0.25">
      <c r="A206" s="67"/>
      <c r="B206" s="66"/>
      <c r="C206" s="117"/>
      <c r="D206" s="66"/>
      <c r="E206" s="66"/>
      <c r="F206" s="66"/>
      <c r="G206" s="66"/>
      <c r="H206" s="66"/>
      <c r="I206" s="117" t="s">
        <v>29</v>
      </c>
      <c r="J206" s="66"/>
      <c r="K206" s="66"/>
      <c r="L206" s="66"/>
      <c r="M206" s="74"/>
      <c r="N206" s="66"/>
      <c r="O206" s="66"/>
      <c r="P206" s="66"/>
      <c r="Q206" s="66"/>
      <c r="R206" s="66"/>
      <c r="S206" s="66"/>
      <c r="T206" s="66"/>
      <c r="U206" s="117" t="s">
        <v>29</v>
      </c>
    </row>
    <row r="207" spans="1:21" ht="17.399999999999999" x14ac:dyDescent="0.25">
      <c r="A207" s="67"/>
      <c r="B207" s="124"/>
      <c r="C207" s="125"/>
      <c r="D207" s="126" t="s">
        <v>912</v>
      </c>
      <c r="E207" s="127">
        <v>3</v>
      </c>
      <c r="F207" s="36"/>
      <c r="G207" s="36"/>
      <c r="H207" s="36"/>
      <c r="I207" s="128" t="s">
        <v>29</v>
      </c>
      <c r="J207" s="129"/>
      <c r="K207" s="129"/>
      <c r="L207" s="129"/>
      <c r="M207" s="129"/>
      <c r="N207" s="129"/>
      <c r="O207" s="129"/>
      <c r="P207" s="126" t="s">
        <v>913</v>
      </c>
      <c r="Q207" s="241">
        <v>45461</v>
      </c>
      <c r="R207" s="224"/>
      <c r="S207" s="224"/>
      <c r="T207" s="224"/>
      <c r="U207" s="130" t="s">
        <v>29</v>
      </c>
    </row>
    <row r="208" spans="1:21" ht="15.6" x14ac:dyDescent="0.25">
      <c r="A208" s="67"/>
      <c r="B208" s="131"/>
      <c r="C208" s="132"/>
      <c r="D208" s="133" t="s">
        <v>914</v>
      </c>
      <c r="E208" s="133"/>
      <c r="F208" s="39"/>
      <c r="G208" s="39"/>
      <c r="H208" s="39"/>
      <c r="I208" s="134" t="s">
        <v>29</v>
      </c>
      <c r="J208" s="39"/>
      <c r="K208" s="39"/>
      <c r="L208" s="39"/>
      <c r="M208" s="39"/>
      <c r="N208" s="39"/>
      <c r="O208" s="39"/>
      <c r="P208" s="135" t="s">
        <v>3</v>
      </c>
      <c r="Q208" s="235" t="s">
        <v>863</v>
      </c>
      <c r="R208" s="224"/>
      <c r="S208" s="224"/>
      <c r="T208" s="224"/>
      <c r="U208" s="134" t="s">
        <v>29</v>
      </c>
    </row>
    <row r="209" spans="1:21" ht="15.6" x14ac:dyDescent="0.25">
      <c r="A209" s="67"/>
      <c r="B209" s="136"/>
      <c r="C209" s="137"/>
      <c r="D209" s="133"/>
      <c r="E209" s="133"/>
      <c r="F209" s="39"/>
      <c r="G209" s="39"/>
      <c r="H209" s="39"/>
      <c r="I209" s="134" t="s">
        <v>29</v>
      </c>
      <c r="J209" s="39"/>
      <c r="K209" s="39"/>
      <c r="L209" s="39"/>
      <c r="M209" s="39"/>
      <c r="N209" s="39"/>
      <c r="O209" s="39"/>
      <c r="P209" s="133"/>
      <c r="Q209" s="133"/>
      <c r="R209" s="133"/>
      <c r="S209" s="39"/>
      <c r="T209" s="39"/>
      <c r="U209" s="134" t="s">
        <v>29</v>
      </c>
    </row>
    <row r="210" spans="1:21" ht="17.399999999999999" x14ac:dyDescent="0.3">
      <c r="A210" s="67"/>
      <c r="B210" s="61" t="s">
        <v>1075</v>
      </c>
      <c r="C210" s="257" t="s">
        <v>859</v>
      </c>
      <c r="D210" s="222"/>
      <c r="E210" s="258" t="s">
        <v>866</v>
      </c>
      <c r="F210" s="220"/>
      <c r="G210" s="220"/>
      <c r="H210" s="222"/>
      <c r="I210" s="138" t="s">
        <v>29</v>
      </c>
      <c r="J210" s="63"/>
      <c r="K210" s="63"/>
      <c r="L210" s="63"/>
      <c r="M210" s="63"/>
      <c r="N210" s="61" t="s">
        <v>1076</v>
      </c>
      <c r="O210" s="236" t="s">
        <v>860</v>
      </c>
      <c r="P210" s="222"/>
      <c r="Q210" s="237" t="s">
        <v>867</v>
      </c>
      <c r="R210" s="220"/>
      <c r="S210" s="220"/>
      <c r="T210" s="222"/>
      <c r="U210" s="138" t="s">
        <v>29</v>
      </c>
    </row>
    <row r="211" spans="1:21" ht="17.399999999999999" x14ac:dyDescent="0.3">
      <c r="A211" s="67"/>
      <c r="B211" s="65"/>
      <c r="C211" s="243" t="s">
        <v>2</v>
      </c>
      <c r="D211" s="222"/>
      <c r="E211" s="244">
        <v>44</v>
      </c>
      <c r="F211" s="220"/>
      <c r="G211" s="220"/>
      <c r="H211" s="222"/>
      <c r="I211" s="138" t="s">
        <v>29</v>
      </c>
      <c r="J211" s="62"/>
      <c r="K211" s="62"/>
      <c r="L211" s="62"/>
      <c r="M211" s="62"/>
      <c r="N211" s="65"/>
      <c r="O211" s="238" t="s">
        <v>2</v>
      </c>
      <c r="P211" s="222"/>
      <c r="Q211" s="239">
        <v>28</v>
      </c>
      <c r="R211" s="220"/>
      <c r="S211" s="220"/>
      <c r="T211" s="222"/>
      <c r="U211" s="138" t="s">
        <v>29</v>
      </c>
    </row>
    <row r="212" spans="1:21" ht="13.2" x14ac:dyDescent="0.25">
      <c r="A212" s="67"/>
      <c r="B212" s="66"/>
      <c r="C212" s="66"/>
      <c r="D212" s="66"/>
      <c r="E212" s="66"/>
      <c r="F212" s="66"/>
      <c r="G212" s="66"/>
      <c r="H212" s="66"/>
      <c r="I212" s="117" t="s">
        <v>29</v>
      </c>
      <c r="J212" s="66"/>
      <c r="K212" s="66"/>
      <c r="L212" s="66"/>
      <c r="M212" s="74"/>
      <c r="N212" s="66"/>
      <c r="O212" s="66"/>
      <c r="P212" s="66"/>
      <c r="Q212" s="66"/>
      <c r="R212" s="66"/>
      <c r="S212" s="66"/>
      <c r="T212" s="66"/>
      <c r="U212" s="117" t="s">
        <v>29</v>
      </c>
    </row>
    <row r="213" spans="1:21" ht="13.2" x14ac:dyDescent="0.25">
      <c r="A213" s="67"/>
      <c r="B213" s="66"/>
      <c r="C213" s="68"/>
      <c r="D213" s="69"/>
      <c r="E213" s="70"/>
      <c r="F213" s="71"/>
      <c r="G213" s="72" t="s">
        <v>917</v>
      </c>
      <c r="H213" s="73" t="s">
        <v>918</v>
      </c>
      <c r="I213" s="117" t="s">
        <v>29</v>
      </c>
      <c r="J213" s="66"/>
      <c r="K213" s="66"/>
      <c r="L213" s="66"/>
      <c r="M213" s="74"/>
      <c r="N213" s="66"/>
      <c r="O213" s="68"/>
      <c r="P213" s="69"/>
      <c r="Q213" s="70"/>
      <c r="R213" s="71"/>
      <c r="S213" s="72" t="s">
        <v>917</v>
      </c>
      <c r="T213" s="73" t="s">
        <v>918</v>
      </c>
      <c r="U213" s="117" t="s">
        <v>29</v>
      </c>
    </row>
    <row r="214" spans="1:21" ht="13.2" x14ac:dyDescent="0.25">
      <c r="A214" s="67"/>
      <c r="B214" s="66"/>
      <c r="C214" s="68" t="s">
        <v>919</v>
      </c>
      <c r="D214" s="75" t="s">
        <v>920</v>
      </c>
      <c r="E214" s="76"/>
      <c r="F214" s="77"/>
      <c r="G214" s="78">
        <v>5</v>
      </c>
      <c r="H214" s="79">
        <v>4</v>
      </c>
      <c r="I214" s="117" t="s">
        <v>29</v>
      </c>
      <c r="J214" s="66"/>
      <c r="K214" s="66"/>
      <c r="L214" s="66"/>
      <c r="M214" s="74"/>
      <c r="N214" s="66"/>
      <c r="O214" s="68" t="s">
        <v>921</v>
      </c>
      <c r="P214" s="75" t="s">
        <v>922</v>
      </c>
      <c r="Q214" s="76"/>
      <c r="R214" s="77"/>
      <c r="S214" s="78">
        <v>8</v>
      </c>
      <c r="T214" s="79">
        <v>1</v>
      </c>
      <c r="U214" s="117" t="s">
        <v>29</v>
      </c>
    </row>
    <row r="215" spans="1:21" ht="13.2" x14ac:dyDescent="0.25">
      <c r="A215" s="67"/>
      <c r="B215" s="66"/>
      <c r="C215" s="68" t="s">
        <v>923</v>
      </c>
      <c r="D215" s="75" t="s">
        <v>924</v>
      </c>
      <c r="E215" s="76"/>
      <c r="F215" s="77"/>
      <c r="G215" s="78">
        <v>6</v>
      </c>
      <c r="H215" s="79">
        <v>3</v>
      </c>
      <c r="I215" s="117" t="s">
        <v>29</v>
      </c>
      <c r="J215" s="66"/>
      <c r="K215" s="66"/>
      <c r="L215" s="66"/>
      <c r="M215" s="74"/>
      <c r="N215" s="66"/>
      <c r="O215" s="68" t="s">
        <v>925</v>
      </c>
      <c r="P215" s="75" t="s">
        <v>926</v>
      </c>
      <c r="Q215" s="76"/>
      <c r="R215" s="77"/>
      <c r="S215" s="78">
        <v>8</v>
      </c>
      <c r="T215" s="79">
        <v>1</v>
      </c>
      <c r="U215" s="117" t="s">
        <v>29</v>
      </c>
    </row>
    <row r="216" spans="1:21" ht="13.2" x14ac:dyDescent="0.25">
      <c r="A216" s="67"/>
      <c r="B216" s="66"/>
      <c r="C216" s="68" t="s">
        <v>927</v>
      </c>
      <c r="D216" s="75" t="s">
        <v>928</v>
      </c>
      <c r="E216" s="76"/>
      <c r="F216" s="77"/>
      <c r="G216" s="78">
        <v>0</v>
      </c>
      <c r="H216" s="79">
        <v>9</v>
      </c>
      <c r="I216" s="117" t="s">
        <v>29</v>
      </c>
      <c r="J216" s="66"/>
      <c r="K216" s="66"/>
      <c r="L216" s="66"/>
      <c r="M216" s="74"/>
      <c r="N216" s="66"/>
      <c r="O216" s="68" t="s">
        <v>929</v>
      </c>
      <c r="P216" s="75" t="s">
        <v>930</v>
      </c>
      <c r="Q216" s="76"/>
      <c r="R216" s="77"/>
      <c r="S216" s="78">
        <v>8</v>
      </c>
      <c r="T216" s="79">
        <v>1</v>
      </c>
      <c r="U216" s="117" t="s">
        <v>29</v>
      </c>
    </row>
    <row r="217" spans="1:21" ht="13.2" x14ac:dyDescent="0.25">
      <c r="A217" s="67"/>
      <c r="B217" s="66"/>
      <c r="C217" s="68" t="s">
        <v>931</v>
      </c>
      <c r="D217" s="75" t="s">
        <v>932</v>
      </c>
      <c r="E217" s="76"/>
      <c r="F217" s="77"/>
      <c r="G217" s="78">
        <v>0</v>
      </c>
      <c r="H217" s="79">
        <v>9</v>
      </c>
      <c r="I217" s="117" t="s">
        <v>29</v>
      </c>
      <c r="J217" s="66"/>
      <c r="K217" s="66"/>
      <c r="L217" s="66"/>
      <c r="M217" s="74"/>
      <c r="N217" s="66"/>
      <c r="O217" s="68" t="s">
        <v>933</v>
      </c>
      <c r="P217" s="75" t="s">
        <v>934</v>
      </c>
      <c r="Q217" s="76"/>
      <c r="R217" s="77"/>
      <c r="S217" s="78">
        <v>9</v>
      </c>
      <c r="T217" s="79">
        <v>0</v>
      </c>
      <c r="U217" s="117" t="s">
        <v>29</v>
      </c>
    </row>
    <row r="218" spans="1:21" ht="13.2" x14ac:dyDescent="0.25">
      <c r="A218" s="67"/>
      <c r="B218" s="66"/>
      <c r="C218" s="80"/>
      <c r="D218" s="81" t="s">
        <v>935</v>
      </c>
      <c r="E218" s="82"/>
      <c r="F218" s="83"/>
      <c r="G218" s="72">
        <v>11</v>
      </c>
      <c r="H218" s="73">
        <v>25</v>
      </c>
      <c r="I218" s="117" t="s">
        <v>29</v>
      </c>
      <c r="J218" s="66"/>
      <c r="K218" s="66"/>
      <c r="L218" s="66"/>
      <c r="M218" s="74"/>
      <c r="N218" s="66"/>
      <c r="O218" s="80"/>
      <c r="P218" s="81" t="s">
        <v>935</v>
      </c>
      <c r="Q218" s="82"/>
      <c r="R218" s="83"/>
      <c r="S218" s="72">
        <v>33</v>
      </c>
      <c r="T218" s="73">
        <v>3</v>
      </c>
      <c r="U218" s="117" t="s">
        <v>29</v>
      </c>
    </row>
    <row r="219" spans="1:21" ht="13.2" x14ac:dyDescent="0.25">
      <c r="A219" s="67"/>
      <c r="B219" s="66"/>
      <c r="C219" s="66"/>
      <c r="D219" s="66"/>
      <c r="E219" s="66"/>
      <c r="F219" s="66"/>
      <c r="G219" s="66"/>
      <c r="H219" s="66"/>
      <c r="I219" s="117" t="s">
        <v>29</v>
      </c>
      <c r="J219" s="66"/>
      <c r="K219" s="66"/>
      <c r="L219" s="66"/>
      <c r="M219" s="74"/>
      <c r="N219" s="66"/>
      <c r="O219" s="66"/>
      <c r="P219" s="66"/>
      <c r="Q219" s="66"/>
      <c r="R219" s="66"/>
      <c r="S219" s="66"/>
      <c r="T219" s="66"/>
      <c r="U219" s="117" t="s">
        <v>29</v>
      </c>
    </row>
    <row r="220" spans="1:21" ht="13.2" x14ac:dyDescent="0.25">
      <c r="A220" s="67"/>
      <c r="B220" s="66"/>
      <c r="C220" s="66"/>
      <c r="D220" s="66"/>
      <c r="E220" s="66"/>
      <c r="F220" s="66"/>
      <c r="G220" s="66"/>
      <c r="H220" s="66"/>
      <c r="I220" s="117" t="s">
        <v>29</v>
      </c>
      <c r="J220" s="66"/>
      <c r="K220" s="66"/>
      <c r="L220" s="66"/>
      <c r="M220" s="74"/>
      <c r="N220" s="66"/>
      <c r="O220" s="66"/>
      <c r="P220" s="66"/>
      <c r="Q220" s="66"/>
      <c r="R220" s="66"/>
      <c r="S220" s="66"/>
      <c r="T220" s="66"/>
      <c r="U220" s="117" t="s">
        <v>29</v>
      </c>
    </row>
    <row r="221" spans="1:21" ht="13.2" x14ac:dyDescent="0.25">
      <c r="A221" s="67"/>
      <c r="B221" s="66"/>
      <c r="C221" s="66"/>
      <c r="D221" s="66"/>
      <c r="E221" s="66"/>
      <c r="F221" s="66"/>
      <c r="G221" s="66"/>
      <c r="H221" s="66"/>
      <c r="I221" s="117" t="s">
        <v>29</v>
      </c>
      <c r="J221" s="66"/>
      <c r="K221" s="66"/>
      <c r="L221" s="66"/>
      <c r="M221" s="74"/>
      <c r="N221" s="66"/>
      <c r="O221" s="66"/>
      <c r="P221" s="66"/>
      <c r="Q221" s="66"/>
      <c r="R221" s="66"/>
      <c r="S221" s="66"/>
      <c r="T221" s="66"/>
      <c r="U221" s="117" t="s">
        <v>29</v>
      </c>
    </row>
    <row r="222" spans="1:21" ht="13.2" x14ac:dyDescent="0.25">
      <c r="A222" s="67" t="s">
        <v>919</v>
      </c>
      <c r="B222" s="84"/>
      <c r="C222" s="85" t="s">
        <v>936</v>
      </c>
      <c r="D222" s="86" t="s">
        <v>920</v>
      </c>
      <c r="E222" s="87" t="s">
        <v>2</v>
      </c>
      <c r="F222" s="87" t="s">
        <v>937</v>
      </c>
      <c r="G222" s="87" t="s">
        <v>917</v>
      </c>
      <c r="H222" s="87" t="s">
        <v>918</v>
      </c>
      <c r="I222" s="88" t="s">
        <v>29</v>
      </c>
      <c r="J222" s="89"/>
      <c r="K222" s="89"/>
      <c r="L222" s="89"/>
      <c r="M222" s="90" t="s">
        <v>921</v>
      </c>
      <c r="N222" s="91"/>
      <c r="O222" s="85" t="s">
        <v>936</v>
      </c>
      <c r="P222" s="86" t="s">
        <v>922</v>
      </c>
      <c r="Q222" s="87" t="s">
        <v>2</v>
      </c>
      <c r="R222" s="87" t="s">
        <v>937</v>
      </c>
      <c r="S222" s="87" t="s">
        <v>917</v>
      </c>
      <c r="T222" s="87" t="s">
        <v>918</v>
      </c>
      <c r="U222" s="88" t="s">
        <v>29</v>
      </c>
    </row>
    <row r="223" spans="1:21" ht="26.4" x14ac:dyDescent="0.25">
      <c r="A223" s="67" t="s">
        <v>919</v>
      </c>
      <c r="B223" s="84"/>
      <c r="C223" s="92">
        <v>1</v>
      </c>
      <c r="D223" s="93" t="s">
        <v>1077</v>
      </c>
      <c r="E223" s="94" t="s">
        <v>806</v>
      </c>
      <c r="F223" s="92" t="s">
        <v>1075</v>
      </c>
      <c r="G223" s="92">
        <v>5</v>
      </c>
      <c r="H223" s="92" t="s">
        <v>29</v>
      </c>
      <c r="I223" s="95" t="s">
        <v>29</v>
      </c>
      <c r="J223" s="89"/>
      <c r="K223" s="89"/>
      <c r="L223" s="89"/>
      <c r="M223" s="96" t="s">
        <v>921</v>
      </c>
      <c r="N223" s="84"/>
      <c r="O223" s="92">
        <v>1</v>
      </c>
      <c r="P223" s="93" t="s">
        <v>1078</v>
      </c>
      <c r="Q223" s="94" t="s">
        <v>736</v>
      </c>
      <c r="R223" s="92" t="s">
        <v>1075</v>
      </c>
      <c r="S223" s="92">
        <v>5</v>
      </c>
      <c r="T223" s="92" t="s">
        <v>29</v>
      </c>
      <c r="U223" s="95" t="s">
        <v>29</v>
      </c>
    </row>
    <row r="224" spans="1:21" ht="13.2" x14ac:dyDescent="0.25">
      <c r="A224" s="67" t="s">
        <v>919</v>
      </c>
      <c r="B224" s="84"/>
      <c r="C224" s="92">
        <v>2</v>
      </c>
      <c r="D224" s="93" t="s">
        <v>1079</v>
      </c>
      <c r="E224" s="97" t="s">
        <v>521</v>
      </c>
      <c r="F224" s="92" t="s">
        <v>1076</v>
      </c>
      <c r="G224" s="92" t="s">
        <v>29</v>
      </c>
      <c r="H224" s="92">
        <v>3</v>
      </c>
      <c r="I224" s="95" t="s">
        <v>29</v>
      </c>
      <c r="J224" s="89"/>
      <c r="K224" s="89"/>
      <c r="L224" s="89"/>
      <c r="M224" s="96" t="s">
        <v>921</v>
      </c>
      <c r="N224" s="84"/>
      <c r="O224" s="92">
        <v>2</v>
      </c>
      <c r="P224" s="93" t="s">
        <v>1080</v>
      </c>
      <c r="Q224" s="97" t="s">
        <v>202</v>
      </c>
      <c r="R224" s="92" t="s">
        <v>1075</v>
      </c>
      <c r="S224" s="92">
        <v>3</v>
      </c>
      <c r="T224" s="92" t="s">
        <v>29</v>
      </c>
      <c r="U224" s="95" t="s">
        <v>29</v>
      </c>
    </row>
    <row r="225" spans="1:21" ht="13.2" x14ac:dyDescent="0.25">
      <c r="A225" s="67" t="s">
        <v>919</v>
      </c>
      <c r="B225" s="84"/>
      <c r="C225" s="92">
        <v>3</v>
      </c>
      <c r="D225" s="93" t="s">
        <v>1081</v>
      </c>
      <c r="E225" s="97" t="s">
        <v>520</v>
      </c>
      <c r="F225" s="92" t="s">
        <v>1076</v>
      </c>
      <c r="G225" s="92" t="s">
        <v>29</v>
      </c>
      <c r="H225" s="92">
        <v>1</v>
      </c>
      <c r="I225" s="95" t="s">
        <v>29</v>
      </c>
      <c r="J225" s="89"/>
      <c r="K225" s="89"/>
      <c r="L225" s="89"/>
      <c r="M225" s="96" t="s">
        <v>921</v>
      </c>
      <c r="N225" s="84"/>
      <c r="O225" s="92">
        <v>3</v>
      </c>
      <c r="P225" s="93" t="s">
        <v>1082</v>
      </c>
      <c r="Q225" s="97" t="s">
        <v>522</v>
      </c>
      <c r="R225" s="92" t="s">
        <v>1076</v>
      </c>
      <c r="S225" s="92" t="s">
        <v>29</v>
      </c>
      <c r="T225" s="92">
        <v>1</v>
      </c>
      <c r="U225" s="95" t="s">
        <v>29</v>
      </c>
    </row>
    <row r="226" spans="1:21" ht="13.2" x14ac:dyDescent="0.25">
      <c r="A226" s="67" t="s">
        <v>919</v>
      </c>
      <c r="B226" s="84"/>
      <c r="C226" s="92">
        <v>4</v>
      </c>
      <c r="D226" s="93" t="s">
        <v>1083</v>
      </c>
      <c r="E226" s="97" t="s">
        <v>474</v>
      </c>
      <c r="F226" s="92" t="s">
        <v>1076</v>
      </c>
      <c r="G226" s="92" t="s">
        <v>29</v>
      </c>
      <c r="H226" s="92" t="s">
        <v>29</v>
      </c>
      <c r="I226" s="95" t="s">
        <v>29</v>
      </c>
      <c r="J226" s="89"/>
      <c r="K226" s="89"/>
      <c r="L226" s="89"/>
      <c r="M226" s="96" t="s">
        <v>29</v>
      </c>
      <c r="N226" s="84"/>
      <c r="O226" s="92" t="s">
        <v>29</v>
      </c>
      <c r="P226" s="93" t="s">
        <v>29</v>
      </c>
      <c r="Q226" s="97" t="s">
        <v>29</v>
      </c>
      <c r="R226" s="92" t="s">
        <v>29</v>
      </c>
      <c r="S226" s="92" t="s">
        <v>29</v>
      </c>
      <c r="T226" s="92" t="s">
        <v>29</v>
      </c>
      <c r="U226" s="95" t="s">
        <v>29</v>
      </c>
    </row>
    <row r="227" spans="1:21" ht="13.2" x14ac:dyDescent="0.25">
      <c r="A227" s="67" t="s">
        <v>919</v>
      </c>
      <c r="B227" s="84"/>
      <c r="C227" s="92">
        <v>5</v>
      </c>
      <c r="D227" s="93" t="s">
        <v>1084</v>
      </c>
      <c r="E227" s="97" t="s">
        <v>96</v>
      </c>
      <c r="F227" s="92" t="s">
        <v>1076</v>
      </c>
      <c r="G227" s="92" t="s">
        <v>29</v>
      </c>
      <c r="H227" s="92" t="s">
        <v>29</v>
      </c>
      <c r="I227" s="95" t="s">
        <v>29</v>
      </c>
      <c r="J227" s="89"/>
      <c r="K227" s="89"/>
      <c r="L227" s="89"/>
      <c r="M227" s="96" t="s">
        <v>29</v>
      </c>
      <c r="N227" s="84"/>
      <c r="O227" s="92" t="s">
        <v>29</v>
      </c>
      <c r="P227" s="93" t="s">
        <v>29</v>
      </c>
      <c r="Q227" s="97" t="s">
        <v>29</v>
      </c>
      <c r="R227" s="92" t="s">
        <v>29</v>
      </c>
      <c r="S227" s="92" t="s">
        <v>29</v>
      </c>
      <c r="T227" s="92" t="s">
        <v>29</v>
      </c>
      <c r="U227" s="95" t="s">
        <v>29</v>
      </c>
    </row>
    <row r="228" spans="1:21" ht="13.2" x14ac:dyDescent="0.25">
      <c r="A228" s="67" t="s">
        <v>919</v>
      </c>
      <c r="B228" s="84"/>
      <c r="C228" s="92">
        <v>6</v>
      </c>
      <c r="D228" s="93" t="s">
        <v>1085</v>
      </c>
      <c r="E228" s="97" t="s">
        <v>519</v>
      </c>
      <c r="F228" s="92" t="s">
        <v>1076</v>
      </c>
      <c r="G228" s="92" t="s">
        <v>29</v>
      </c>
      <c r="H228" s="92" t="s">
        <v>29</v>
      </c>
      <c r="I228" s="95" t="s">
        <v>29</v>
      </c>
      <c r="J228" s="89"/>
      <c r="K228" s="89"/>
      <c r="L228" s="89"/>
      <c r="M228" s="96" t="s">
        <v>29</v>
      </c>
      <c r="N228" s="84"/>
      <c r="O228" s="92" t="s">
        <v>29</v>
      </c>
      <c r="P228" s="93" t="s">
        <v>29</v>
      </c>
      <c r="Q228" s="97" t="s">
        <v>29</v>
      </c>
      <c r="R228" s="92" t="s">
        <v>29</v>
      </c>
      <c r="S228" s="92" t="s">
        <v>29</v>
      </c>
      <c r="T228" s="92" t="s">
        <v>29</v>
      </c>
      <c r="U228" s="95" t="s">
        <v>29</v>
      </c>
    </row>
    <row r="229" spans="1:21" ht="13.2" x14ac:dyDescent="0.25">
      <c r="A229" s="67" t="s">
        <v>919</v>
      </c>
      <c r="B229" s="84"/>
      <c r="C229" s="92">
        <v>7</v>
      </c>
      <c r="D229" s="93" t="s">
        <v>1086</v>
      </c>
      <c r="E229" s="97" t="s">
        <v>805</v>
      </c>
      <c r="F229" s="92" t="s">
        <v>1075</v>
      </c>
      <c r="G229" s="92" t="s">
        <v>29</v>
      </c>
      <c r="H229" s="92" t="s">
        <v>29</v>
      </c>
      <c r="I229" s="95" t="s">
        <v>29</v>
      </c>
      <c r="J229" s="89"/>
      <c r="K229" s="89"/>
      <c r="L229" s="89"/>
      <c r="M229" s="96" t="s">
        <v>29</v>
      </c>
      <c r="N229" s="84"/>
      <c r="O229" s="92" t="s">
        <v>29</v>
      </c>
      <c r="P229" s="93" t="s">
        <v>29</v>
      </c>
      <c r="Q229" s="97" t="s">
        <v>29</v>
      </c>
      <c r="R229" s="92" t="s">
        <v>29</v>
      </c>
      <c r="S229" s="92" t="s">
        <v>29</v>
      </c>
      <c r="T229" s="92" t="s">
        <v>29</v>
      </c>
      <c r="U229" s="95" t="s">
        <v>29</v>
      </c>
    </row>
    <row r="230" spans="1:21" ht="13.2" x14ac:dyDescent="0.25">
      <c r="A230" s="67" t="s">
        <v>919</v>
      </c>
      <c r="B230" s="84"/>
      <c r="C230" s="92">
        <v>8</v>
      </c>
      <c r="D230" s="98" t="s">
        <v>1087</v>
      </c>
      <c r="E230" s="97" t="s">
        <v>204</v>
      </c>
      <c r="F230" s="92" t="s">
        <v>1076</v>
      </c>
      <c r="G230" s="92" t="s">
        <v>29</v>
      </c>
      <c r="H230" s="92" t="s">
        <v>29</v>
      </c>
      <c r="I230" s="95" t="s">
        <v>29</v>
      </c>
      <c r="J230" s="89"/>
      <c r="K230" s="89"/>
      <c r="L230" s="89"/>
      <c r="M230" s="96" t="s">
        <v>29</v>
      </c>
      <c r="N230" s="84"/>
      <c r="O230" s="92" t="s">
        <v>29</v>
      </c>
      <c r="P230" s="93" t="s">
        <v>29</v>
      </c>
      <c r="Q230" s="97" t="s">
        <v>29</v>
      </c>
      <c r="R230" s="92" t="s">
        <v>29</v>
      </c>
      <c r="S230" s="92" t="s">
        <v>29</v>
      </c>
      <c r="T230" s="92" t="s">
        <v>29</v>
      </c>
      <c r="U230" s="95" t="s">
        <v>29</v>
      </c>
    </row>
    <row r="231" spans="1:21" ht="13.2" x14ac:dyDescent="0.25">
      <c r="A231" s="67" t="s">
        <v>919</v>
      </c>
      <c r="B231" s="84"/>
      <c r="C231" s="92">
        <v>9</v>
      </c>
      <c r="D231" s="98" t="s">
        <v>1088</v>
      </c>
      <c r="E231" s="97" t="s">
        <v>203</v>
      </c>
      <c r="F231" s="92" t="s">
        <v>1076</v>
      </c>
      <c r="G231" s="92" t="s">
        <v>29</v>
      </c>
      <c r="H231" s="92" t="s">
        <v>29</v>
      </c>
      <c r="I231" s="95" t="s">
        <v>29</v>
      </c>
      <c r="J231" s="89"/>
      <c r="K231" s="89"/>
      <c r="L231" s="89"/>
      <c r="M231" s="96" t="s">
        <v>29</v>
      </c>
      <c r="N231" s="84"/>
      <c r="O231" s="92" t="s">
        <v>29</v>
      </c>
      <c r="P231" s="93" t="s">
        <v>29</v>
      </c>
      <c r="Q231" s="97" t="s">
        <v>29</v>
      </c>
      <c r="R231" s="92" t="s">
        <v>29</v>
      </c>
      <c r="S231" s="92" t="s">
        <v>29</v>
      </c>
      <c r="T231" s="92" t="s">
        <v>29</v>
      </c>
      <c r="U231" s="95" t="s">
        <v>29</v>
      </c>
    </row>
    <row r="232" spans="1:21" ht="13.2" x14ac:dyDescent="0.25">
      <c r="A232" s="67" t="s">
        <v>919</v>
      </c>
      <c r="B232" s="84"/>
      <c r="C232" s="92">
        <v>10</v>
      </c>
      <c r="D232" s="98" t="s">
        <v>1089</v>
      </c>
      <c r="E232" s="97" t="s">
        <v>163</v>
      </c>
      <c r="F232" s="92" t="s">
        <v>1075</v>
      </c>
      <c r="G232" s="92" t="s">
        <v>29</v>
      </c>
      <c r="H232" s="92" t="s">
        <v>29</v>
      </c>
      <c r="I232" s="95" t="s">
        <v>29</v>
      </c>
      <c r="J232" s="89"/>
      <c r="K232" s="89"/>
      <c r="L232" s="89"/>
      <c r="M232" s="96" t="s">
        <v>29</v>
      </c>
      <c r="N232" s="84"/>
      <c r="O232" s="92" t="s">
        <v>29</v>
      </c>
      <c r="P232" s="93" t="s">
        <v>29</v>
      </c>
      <c r="Q232" s="97" t="s">
        <v>29</v>
      </c>
      <c r="R232" s="92" t="s">
        <v>29</v>
      </c>
      <c r="S232" s="92" t="s">
        <v>29</v>
      </c>
      <c r="T232" s="92" t="s">
        <v>29</v>
      </c>
      <c r="U232" s="95" t="s">
        <v>29</v>
      </c>
    </row>
    <row r="233" spans="1:21" ht="13.2" x14ac:dyDescent="0.25">
      <c r="A233" s="67" t="s">
        <v>29</v>
      </c>
      <c r="B233" s="84"/>
      <c r="C233" s="92" t="s">
        <v>29</v>
      </c>
      <c r="D233" s="98" t="s">
        <v>29</v>
      </c>
      <c r="E233" s="97" t="s">
        <v>29</v>
      </c>
      <c r="F233" s="92" t="s">
        <v>29</v>
      </c>
      <c r="G233" s="92" t="s">
        <v>29</v>
      </c>
      <c r="H233" s="92" t="s">
        <v>29</v>
      </c>
      <c r="I233" s="95" t="s">
        <v>29</v>
      </c>
      <c r="J233" s="89"/>
      <c r="K233" s="89"/>
      <c r="L233" s="89"/>
      <c r="M233" s="96" t="s">
        <v>29</v>
      </c>
      <c r="N233" s="84"/>
      <c r="O233" s="92" t="s">
        <v>29</v>
      </c>
      <c r="P233" s="93" t="s">
        <v>29</v>
      </c>
      <c r="Q233" s="97" t="s">
        <v>29</v>
      </c>
      <c r="R233" s="92" t="s">
        <v>29</v>
      </c>
      <c r="S233" s="92" t="s">
        <v>29</v>
      </c>
      <c r="T233" s="92" t="s">
        <v>29</v>
      </c>
      <c r="U233" s="95" t="s">
        <v>29</v>
      </c>
    </row>
    <row r="234" spans="1:21" ht="13.2" x14ac:dyDescent="0.25">
      <c r="A234" s="67" t="s">
        <v>29</v>
      </c>
      <c r="B234" s="84"/>
      <c r="C234" s="92" t="s">
        <v>29</v>
      </c>
      <c r="D234" s="98" t="s">
        <v>29</v>
      </c>
      <c r="E234" s="97" t="s">
        <v>29</v>
      </c>
      <c r="F234" s="92" t="s">
        <v>29</v>
      </c>
      <c r="G234" s="92" t="s">
        <v>29</v>
      </c>
      <c r="H234" s="92" t="s">
        <v>29</v>
      </c>
      <c r="I234" s="95" t="s">
        <v>29</v>
      </c>
      <c r="J234" s="89"/>
      <c r="K234" s="89"/>
      <c r="L234" s="89"/>
      <c r="M234" s="96" t="s">
        <v>29</v>
      </c>
      <c r="N234" s="84"/>
      <c r="O234" s="92" t="s">
        <v>29</v>
      </c>
      <c r="P234" s="98" t="s">
        <v>29</v>
      </c>
      <c r="Q234" s="97" t="s">
        <v>29</v>
      </c>
      <c r="R234" s="92" t="s">
        <v>29</v>
      </c>
      <c r="S234" s="92" t="s">
        <v>29</v>
      </c>
      <c r="T234" s="92" t="s">
        <v>29</v>
      </c>
      <c r="U234" s="95" t="s">
        <v>29</v>
      </c>
    </row>
    <row r="235" spans="1:21" ht="13.2" x14ac:dyDescent="0.25">
      <c r="A235" s="67" t="s">
        <v>29</v>
      </c>
      <c r="B235" s="84"/>
      <c r="C235" s="92" t="s">
        <v>29</v>
      </c>
      <c r="D235" s="98" t="s">
        <v>29</v>
      </c>
      <c r="E235" s="97" t="s">
        <v>29</v>
      </c>
      <c r="F235" s="92" t="s">
        <v>29</v>
      </c>
      <c r="G235" s="92" t="s">
        <v>29</v>
      </c>
      <c r="H235" s="92" t="s">
        <v>29</v>
      </c>
      <c r="I235" s="95" t="s">
        <v>29</v>
      </c>
      <c r="J235" s="89"/>
      <c r="K235" s="89"/>
      <c r="L235" s="89"/>
      <c r="M235" s="96" t="s">
        <v>29</v>
      </c>
      <c r="N235" s="84"/>
      <c r="O235" s="92" t="s">
        <v>29</v>
      </c>
      <c r="P235" s="98" t="s">
        <v>29</v>
      </c>
      <c r="Q235" s="97" t="s">
        <v>29</v>
      </c>
      <c r="R235" s="92" t="s">
        <v>29</v>
      </c>
      <c r="S235" s="92" t="s">
        <v>29</v>
      </c>
      <c r="T235" s="92" t="s">
        <v>29</v>
      </c>
      <c r="U235" s="95" t="s">
        <v>29</v>
      </c>
    </row>
    <row r="236" spans="1:21" ht="13.2" x14ac:dyDescent="0.25">
      <c r="A236" s="67" t="s">
        <v>29</v>
      </c>
      <c r="B236" s="84"/>
      <c r="C236" s="92" t="s">
        <v>29</v>
      </c>
      <c r="D236" s="98" t="s">
        <v>29</v>
      </c>
      <c r="E236" s="97" t="s">
        <v>29</v>
      </c>
      <c r="F236" s="92" t="s">
        <v>29</v>
      </c>
      <c r="G236" s="92" t="s">
        <v>29</v>
      </c>
      <c r="H236" s="92" t="s">
        <v>29</v>
      </c>
      <c r="I236" s="95" t="s">
        <v>29</v>
      </c>
      <c r="J236" s="89"/>
      <c r="K236" s="89"/>
      <c r="L236" s="89"/>
      <c r="M236" s="96" t="s">
        <v>29</v>
      </c>
      <c r="N236" s="84"/>
      <c r="O236" s="92" t="s">
        <v>29</v>
      </c>
      <c r="P236" s="98" t="s">
        <v>29</v>
      </c>
      <c r="Q236" s="97" t="s">
        <v>29</v>
      </c>
      <c r="R236" s="92" t="s">
        <v>29</v>
      </c>
      <c r="S236" s="92" t="s">
        <v>29</v>
      </c>
      <c r="T236" s="92" t="s">
        <v>29</v>
      </c>
      <c r="U236" s="95" t="s">
        <v>29</v>
      </c>
    </row>
    <row r="237" spans="1:21" ht="13.2" x14ac:dyDescent="0.25">
      <c r="A237" s="67" t="s">
        <v>29</v>
      </c>
      <c r="B237" s="84"/>
      <c r="C237" s="92" t="s">
        <v>29</v>
      </c>
      <c r="D237" s="98" t="s">
        <v>29</v>
      </c>
      <c r="E237" s="97" t="s">
        <v>29</v>
      </c>
      <c r="F237" s="92" t="s">
        <v>29</v>
      </c>
      <c r="G237" s="92" t="s">
        <v>29</v>
      </c>
      <c r="H237" s="92" t="s">
        <v>29</v>
      </c>
      <c r="I237" s="95" t="s">
        <v>29</v>
      </c>
      <c r="J237" s="89"/>
      <c r="K237" s="89"/>
      <c r="L237" s="89"/>
      <c r="M237" s="96" t="s">
        <v>29</v>
      </c>
      <c r="N237" s="84"/>
      <c r="O237" s="92" t="s">
        <v>29</v>
      </c>
      <c r="P237" s="98" t="s">
        <v>29</v>
      </c>
      <c r="Q237" s="97" t="s">
        <v>29</v>
      </c>
      <c r="R237" s="92" t="s">
        <v>29</v>
      </c>
      <c r="S237" s="92" t="s">
        <v>29</v>
      </c>
      <c r="T237" s="92" t="s">
        <v>29</v>
      </c>
      <c r="U237" s="95" t="s">
        <v>29</v>
      </c>
    </row>
    <row r="238" spans="1:21" ht="13.2" x14ac:dyDescent="0.25">
      <c r="A238" s="67" t="s">
        <v>29</v>
      </c>
      <c r="B238" s="84"/>
      <c r="C238" s="92" t="s">
        <v>29</v>
      </c>
      <c r="D238" s="98" t="s">
        <v>29</v>
      </c>
      <c r="E238" s="97" t="s">
        <v>29</v>
      </c>
      <c r="F238" s="92" t="s">
        <v>29</v>
      </c>
      <c r="G238" s="92" t="s">
        <v>29</v>
      </c>
      <c r="H238" s="92" t="s">
        <v>29</v>
      </c>
      <c r="I238" s="95" t="s">
        <v>29</v>
      </c>
      <c r="J238" s="89"/>
      <c r="K238" s="89"/>
      <c r="L238" s="89"/>
      <c r="M238" s="96" t="s">
        <v>29</v>
      </c>
      <c r="N238" s="84"/>
      <c r="O238" s="92" t="s">
        <v>29</v>
      </c>
      <c r="P238" s="98" t="s">
        <v>29</v>
      </c>
      <c r="Q238" s="97" t="s">
        <v>29</v>
      </c>
      <c r="R238" s="92" t="s">
        <v>29</v>
      </c>
      <c r="S238" s="92" t="s">
        <v>29</v>
      </c>
      <c r="T238" s="92" t="s">
        <v>29</v>
      </c>
      <c r="U238" s="95" t="s">
        <v>29</v>
      </c>
    </row>
    <row r="239" spans="1:21" ht="13.2" x14ac:dyDescent="0.25">
      <c r="A239" s="67" t="s">
        <v>29</v>
      </c>
      <c r="B239" s="84"/>
      <c r="C239" s="92" t="s">
        <v>29</v>
      </c>
      <c r="D239" s="98" t="s">
        <v>29</v>
      </c>
      <c r="E239" s="97" t="s">
        <v>29</v>
      </c>
      <c r="F239" s="92" t="s">
        <v>29</v>
      </c>
      <c r="G239" s="92" t="s">
        <v>29</v>
      </c>
      <c r="H239" s="92" t="s">
        <v>29</v>
      </c>
      <c r="I239" s="95" t="s">
        <v>29</v>
      </c>
      <c r="J239" s="89"/>
      <c r="K239" s="89"/>
      <c r="L239" s="89"/>
      <c r="M239" s="96" t="s">
        <v>29</v>
      </c>
      <c r="N239" s="84"/>
      <c r="O239" s="92" t="s">
        <v>29</v>
      </c>
      <c r="P239" s="98" t="s">
        <v>29</v>
      </c>
      <c r="Q239" s="97" t="s">
        <v>29</v>
      </c>
      <c r="R239" s="92" t="s">
        <v>29</v>
      </c>
      <c r="S239" s="92" t="s">
        <v>29</v>
      </c>
      <c r="T239" s="92" t="s">
        <v>29</v>
      </c>
      <c r="U239" s="95" t="s">
        <v>29</v>
      </c>
    </row>
    <row r="240" spans="1:21" ht="13.2" x14ac:dyDescent="0.25">
      <c r="A240" s="67" t="s">
        <v>29</v>
      </c>
      <c r="B240" s="84"/>
      <c r="C240" s="92" t="s">
        <v>29</v>
      </c>
      <c r="D240" s="98" t="s">
        <v>29</v>
      </c>
      <c r="E240" s="97" t="s">
        <v>29</v>
      </c>
      <c r="F240" s="92" t="s">
        <v>29</v>
      </c>
      <c r="G240" s="92" t="s">
        <v>29</v>
      </c>
      <c r="H240" s="92" t="s">
        <v>29</v>
      </c>
      <c r="I240" s="95" t="s">
        <v>29</v>
      </c>
      <c r="J240" s="89"/>
      <c r="K240" s="89"/>
      <c r="L240" s="89"/>
      <c r="M240" s="96" t="s">
        <v>29</v>
      </c>
      <c r="N240" s="84"/>
      <c r="O240" s="92" t="s">
        <v>29</v>
      </c>
      <c r="P240" s="98" t="s">
        <v>29</v>
      </c>
      <c r="Q240" s="97" t="s">
        <v>29</v>
      </c>
      <c r="R240" s="92" t="s">
        <v>29</v>
      </c>
      <c r="S240" s="92" t="s">
        <v>29</v>
      </c>
      <c r="T240" s="92" t="s">
        <v>29</v>
      </c>
      <c r="U240" s="95" t="s">
        <v>29</v>
      </c>
    </row>
    <row r="241" spans="1:21" ht="13.2" x14ac:dyDescent="0.25">
      <c r="A241" s="67" t="s">
        <v>29</v>
      </c>
      <c r="B241" s="84"/>
      <c r="C241" s="92" t="s">
        <v>29</v>
      </c>
      <c r="D241" s="98" t="s">
        <v>29</v>
      </c>
      <c r="E241" s="97" t="s">
        <v>29</v>
      </c>
      <c r="F241" s="92" t="s">
        <v>29</v>
      </c>
      <c r="G241" s="92" t="s">
        <v>29</v>
      </c>
      <c r="H241" s="92" t="s">
        <v>29</v>
      </c>
      <c r="I241" s="95" t="s">
        <v>29</v>
      </c>
      <c r="J241" s="89"/>
      <c r="K241" s="89"/>
      <c r="L241" s="89"/>
      <c r="M241" s="96" t="s">
        <v>29</v>
      </c>
      <c r="N241" s="84"/>
      <c r="O241" s="92" t="s">
        <v>29</v>
      </c>
      <c r="P241" s="98" t="s">
        <v>29</v>
      </c>
      <c r="Q241" s="97" t="s">
        <v>29</v>
      </c>
      <c r="R241" s="92" t="s">
        <v>29</v>
      </c>
      <c r="S241" s="92" t="s">
        <v>29</v>
      </c>
      <c r="T241" s="92" t="s">
        <v>29</v>
      </c>
      <c r="U241" s="95" t="s">
        <v>29</v>
      </c>
    </row>
    <row r="242" spans="1:21" ht="13.2" x14ac:dyDescent="0.25">
      <c r="A242" s="67" t="s">
        <v>29</v>
      </c>
      <c r="B242" s="84"/>
      <c r="C242" s="92" t="s">
        <v>29</v>
      </c>
      <c r="D242" s="98" t="s">
        <v>29</v>
      </c>
      <c r="E242" s="97" t="s">
        <v>29</v>
      </c>
      <c r="F242" s="92" t="s">
        <v>29</v>
      </c>
      <c r="G242" s="92" t="s">
        <v>29</v>
      </c>
      <c r="H242" s="92" t="s">
        <v>29</v>
      </c>
      <c r="I242" s="95" t="s">
        <v>29</v>
      </c>
      <c r="J242" s="89"/>
      <c r="K242" s="89"/>
      <c r="L242" s="89"/>
      <c r="M242" s="96" t="s">
        <v>29</v>
      </c>
      <c r="N242" s="84"/>
      <c r="O242" s="92" t="s">
        <v>29</v>
      </c>
      <c r="P242" s="98" t="s">
        <v>29</v>
      </c>
      <c r="Q242" s="97" t="s">
        <v>29</v>
      </c>
      <c r="R242" s="92" t="s">
        <v>29</v>
      </c>
      <c r="S242" s="92" t="s">
        <v>29</v>
      </c>
      <c r="T242" s="92" t="s">
        <v>29</v>
      </c>
      <c r="U242" s="95" t="s">
        <v>29</v>
      </c>
    </row>
    <row r="243" spans="1:21" ht="13.2" x14ac:dyDescent="0.25">
      <c r="A243" s="67" t="s">
        <v>29</v>
      </c>
      <c r="B243" s="84"/>
      <c r="C243" s="92" t="s">
        <v>29</v>
      </c>
      <c r="D243" s="98" t="s">
        <v>29</v>
      </c>
      <c r="E243" s="97" t="s">
        <v>29</v>
      </c>
      <c r="F243" s="92" t="s">
        <v>29</v>
      </c>
      <c r="G243" s="92" t="s">
        <v>29</v>
      </c>
      <c r="H243" s="92" t="s">
        <v>29</v>
      </c>
      <c r="I243" s="95" t="s">
        <v>29</v>
      </c>
      <c r="J243" s="89"/>
      <c r="K243" s="89"/>
      <c r="L243" s="89"/>
      <c r="M243" s="96" t="s">
        <v>29</v>
      </c>
      <c r="N243" s="84"/>
      <c r="O243" s="92" t="s">
        <v>29</v>
      </c>
      <c r="P243" s="98" t="s">
        <v>29</v>
      </c>
      <c r="Q243" s="97" t="s">
        <v>29</v>
      </c>
      <c r="R243" s="92" t="s">
        <v>29</v>
      </c>
      <c r="S243" s="92" t="s">
        <v>29</v>
      </c>
      <c r="T243" s="92" t="s">
        <v>29</v>
      </c>
      <c r="U243" s="95" t="s">
        <v>29</v>
      </c>
    </row>
    <row r="244" spans="1:21" ht="13.2" x14ac:dyDescent="0.25">
      <c r="A244" s="67" t="s">
        <v>29</v>
      </c>
      <c r="B244" s="84"/>
      <c r="C244" s="92" t="s">
        <v>29</v>
      </c>
      <c r="D244" s="98" t="s">
        <v>29</v>
      </c>
      <c r="E244" s="97" t="s">
        <v>29</v>
      </c>
      <c r="F244" s="92" t="s">
        <v>29</v>
      </c>
      <c r="G244" s="92" t="s">
        <v>29</v>
      </c>
      <c r="H244" s="92" t="s">
        <v>29</v>
      </c>
      <c r="I244" s="95" t="s">
        <v>29</v>
      </c>
      <c r="J244" s="89"/>
      <c r="K244" s="89"/>
      <c r="L244" s="89"/>
      <c r="M244" s="96" t="s">
        <v>29</v>
      </c>
      <c r="N244" s="84"/>
      <c r="O244" s="92" t="s">
        <v>29</v>
      </c>
      <c r="P244" s="98" t="s">
        <v>29</v>
      </c>
      <c r="Q244" s="97" t="s">
        <v>29</v>
      </c>
      <c r="R244" s="92" t="s">
        <v>29</v>
      </c>
      <c r="S244" s="92" t="s">
        <v>29</v>
      </c>
      <c r="T244" s="92" t="s">
        <v>29</v>
      </c>
      <c r="U244" s="95" t="s">
        <v>29</v>
      </c>
    </row>
    <row r="245" spans="1:21" ht="13.2" x14ac:dyDescent="0.25">
      <c r="A245" s="67" t="s">
        <v>29</v>
      </c>
      <c r="B245" s="84"/>
      <c r="C245" s="92" t="s">
        <v>29</v>
      </c>
      <c r="D245" s="98" t="s">
        <v>29</v>
      </c>
      <c r="E245" s="97" t="s">
        <v>29</v>
      </c>
      <c r="F245" s="92" t="s">
        <v>29</v>
      </c>
      <c r="G245" s="92" t="s">
        <v>29</v>
      </c>
      <c r="H245" s="92" t="s">
        <v>29</v>
      </c>
      <c r="I245" s="95" t="s">
        <v>29</v>
      </c>
      <c r="J245" s="89"/>
      <c r="K245" s="89"/>
      <c r="L245" s="89"/>
      <c r="M245" s="96" t="s">
        <v>29</v>
      </c>
      <c r="N245" s="84"/>
      <c r="O245" s="92" t="s">
        <v>29</v>
      </c>
      <c r="P245" s="98" t="s">
        <v>29</v>
      </c>
      <c r="Q245" s="97" t="s">
        <v>29</v>
      </c>
      <c r="R245" s="92" t="s">
        <v>29</v>
      </c>
      <c r="S245" s="92" t="s">
        <v>29</v>
      </c>
      <c r="T245" s="92" t="s">
        <v>29</v>
      </c>
      <c r="U245" s="95" t="s">
        <v>29</v>
      </c>
    </row>
    <row r="246" spans="1:21" ht="13.2" x14ac:dyDescent="0.25">
      <c r="A246" s="67" t="s">
        <v>29</v>
      </c>
      <c r="B246" s="84"/>
      <c r="C246" s="92" t="s">
        <v>29</v>
      </c>
      <c r="D246" s="98" t="s">
        <v>29</v>
      </c>
      <c r="E246" s="97" t="s">
        <v>29</v>
      </c>
      <c r="F246" s="92" t="s">
        <v>29</v>
      </c>
      <c r="G246" s="92" t="s">
        <v>29</v>
      </c>
      <c r="H246" s="92" t="s">
        <v>29</v>
      </c>
      <c r="I246" s="95" t="s">
        <v>29</v>
      </c>
      <c r="J246" s="89"/>
      <c r="K246" s="89"/>
      <c r="L246" s="89"/>
      <c r="M246" s="96" t="s">
        <v>29</v>
      </c>
      <c r="N246" s="84"/>
      <c r="O246" s="92" t="s">
        <v>29</v>
      </c>
      <c r="P246" s="98" t="s">
        <v>29</v>
      </c>
      <c r="Q246" s="97" t="s">
        <v>29</v>
      </c>
      <c r="R246" s="92" t="s">
        <v>29</v>
      </c>
      <c r="S246" s="92" t="s">
        <v>29</v>
      </c>
      <c r="T246" s="92" t="s">
        <v>29</v>
      </c>
      <c r="U246" s="95" t="s">
        <v>29</v>
      </c>
    </row>
    <row r="247" spans="1:21" ht="13.2" x14ac:dyDescent="0.25">
      <c r="A247" s="67" t="s">
        <v>29</v>
      </c>
      <c r="B247" s="84"/>
      <c r="C247" s="92" t="s">
        <v>29</v>
      </c>
      <c r="D247" s="98" t="s">
        <v>29</v>
      </c>
      <c r="E247" s="97" t="s">
        <v>29</v>
      </c>
      <c r="F247" s="92" t="s">
        <v>29</v>
      </c>
      <c r="G247" s="92" t="s">
        <v>29</v>
      </c>
      <c r="H247" s="92" t="s">
        <v>29</v>
      </c>
      <c r="I247" s="95" t="s">
        <v>29</v>
      </c>
      <c r="J247" s="89"/>
      <c r="K247" s="89"/>
      <c r="L247" s="89"/>
      <c r="M247" s="96" t="s">
        <v>29</v>
      </c>
      <c r="N247" s="84"/>
      <c r="O247" s="92" t="s">
        <v>29</v>
      </c>
      <c r="P247" s="98" t="s">
        <v>29</v>
      </c>
      <c r="Q247" s="97" t="s">
        <v>29</v>
      </c>
      <c r="R247" s="92" t="s">
        <v>29</v>
      </c>
      <c r="S247" s="92" t="s">
        <v>29</v>
      </c>
      <c r="T247" s="92" t="s">
        <v>29</v>
      </c>
      <c r="U247" s="95" t="s">
        <v>29</v>
      </c>
    </row>
    <row r="248" spans="1:21" ht="13.2" x14ac:dyDescent="0.25">
      <c r="A248" s="67" t="s">
        <v>29</v>
      </c>
      <c r="B248" s="84"/>
      <c r="C248" s="219" t="s">
        <v>954</v>
      </c>
      <c r="D248" s="220"/>
      <c r="E248" s="220"/>
      <c r="F248" s="220"/>
      <c r="G248" s="99">
        <v>5</v>
      </c>
      <c r="H248" s="99">
        <v>4</v>
      </c>
      <c r="I248" s="95" t="s">
        <v>29</v>
      </c>
      <c r="J248" s="89"/>
      <c r="K248" s="89"/>
      <c r="L248" s="89"/>
      <c r="M248" s="96" t="s">
        <v>29</v>
      </c>
      <c r="N248" s="84"/>
      <c r="O248" s="219" t="s">
        <v>955</v>
      </c>
      <c r="P248" s="220"/>
      <c r="Q248" s="220"/>
      <c r="R248" s="220"/>
      <c r="S248" s="99">
        <v>8</v>
      </c>
      <c r="T248" s="99">
        <v>1</v>
      </c>
      <c r="U248" s="95" t="s">
        <v>29</v>
      </c>
    </row>
    <row r="249" spans="1:21" ht="13.2" x14ac:dyDescent="0.25">
      <c r="A249" s="67" t="s">
        <v>29</v>
      </c>
      <c r="B249" s="89"/>
      <c r="C249" s="89"/>
      <c r="D249" s="89"/>
      <c r="E249" s="89"/>
      <c r="F249" s="89"/>
      <c r="G249" s="89"/>
      <c r="H249" s="89"/>
      <c r="I249" s="100" t="s">
        <v>29</v>
      </c>
      <c r="J249" s="89"/>
      <c r="K249" s="89"/>
      <c r="L249" s="89"/>
      <c r="M249" s="96" t="s">
        <v>29</v>
      </c>
      <c r="N249" s="89"/>
      <c r="O249" s="89"/>
      <c r="P249" s="89"/>
      <c r="Q249" s="89"/>
      <c r="R249" s="89"/>
      <c r="S249" s="89"/>
      <c r="T249" s="89"/>
      <c r="U249" s="100" t="s">
        <v>29</v>
      </c>
    </row>
    <row r="250" spans="1:21" ht="13.2" x14ac:dyDescent="0.25">
      <c r="A250" s="67" t="s">
        <v>29</v>
      </c>
      <c r="B250" s="101"/>
      <c r="C250" s="101"/>
      <c r="D250" s="101"/>
      <c r="E250" s="101"/>
      <c r="F250" s="101"/>
      <c r="G250" s="101"/>
      <c r="H250" s="101"/>
      <c r="I250" s="102" t="s">
        <v>29</v>
      </c>
      <c r="J250" s="89"/>
      <c r="K250" s="89"/>
      <c r="L250" s="89"/>
      <c r="M250" s="96" t="s">
        <v>29</v>
      </c>
      <c r="N250" s="101"/>
      <c r="O250" s="101"/>
      <c r="P250" s="101"/>
      <c r="Q250" s="101"/>
      <c r="R250" s="101"/>
      <c r="S250" s="101"/>
      <c r="T250" s="101"/>
      <c r="U250" s="102" t="s">
        <v>29</v>
      </c>
    </row>
    <row r="251" spans="1:21" ht="13.2" x14ac:dyDescent="0.25">
      <c r="A251" s="67" t="s">
        <v>923</v>
      </c>
      <c r="B251" s="103"/>
      <c r="C251" s="104" t="s">
        <v>936</v>
      </c>
      <c r="D251" s="105" t="s">
        <v>924</v>
      </c>
      <c r="E251" s="106" t="s">
        <v>2</v>
      </c>
      <c r="F251" s="106" t="s">
        <v>937</v>
      </c>
      <c r="G251" s="106" t="s">
        <v>917</v>
      </c>
      <c r="H251" s="106" t="s">
        <v>918</v>
      </c>
      <c r="I251" s="107" t="s">
        <v>29</v>
      </c>
      <c r="J251" s="89"/>
      <c r="K251" s="89"/>
      <c r="L251" s="89"/>
      <c r="M251" s="90" t="s">
        <v>925</v>
      </c>
      <c r="N251" s="116"/>
      <c r="O251" s="104" t="s">
        <v>936</v>
      </c>
      <c r="P251" s="105" t="s">
        <v>926</v>
      </c>
      <c r="Q251" s="106" t="s">
        <v>2</v>
      </c>
      <c r="R251" s="106" t="s">
        <v>937</v>
      </c>
      <c r="S251" s="106" t="s">
        <v>917</v>
      </c>
      <c r="T251" s="106" t="s">
        <v>918</v>
      </c>
      <c r="U251" s="107" t="s">
        <v>29</v>
      </c>
    </row>
    <row r="252" spans="1:21" ht="13.2" x14ac:dyDescent="0.25">
      <c r="A252" s="67" t="s">
        <v>923</v>
      </c>
      <c r="B252" s="108"/>
      <c r="C252" s="92">
        <v>1</v>
      </c>
      <c r="D252" s="93" t="s">
        <v>1090</v>
      </c>
      <c r="E252" s="94" t="s">
        <v>810</v>
      </c>
      <c r="F252" s="92" t="s">
        <v>1075</v>
      </c>
      <c r="G252" s="92">
        <v>5</v>
      </c>
      <c r="H252" s="92" t="s">
        <v>29</v>
      </c>
      <c r="I252" s="107" t="s">
        <v>29</v>
      </c>
      <c r="J252" s="89"/>
      <c r="K252" s="89"/>
      <c r="L252" s="89"/>
      <c r="M252" s="96" t="s">
        <v>925</v>
      </c>
      <c r="N252" s="108"/>
      <c r="O252" s="92">
        <v>1</v>
      </c>
      <c r="P252" s="93" t="s">
        <v>1091</v>
      </c>
      <c r="Q252" s="94" t="s">
        <v>556</v>
      </c>
      <c r="R252" s="92" t="s">
        <v>1075</v>
      </c>
      <c r="S252" s="92">
        <v>5</v>
      </c>
      <c r="T252" s="92" t="s">
        <v>29</v>
      </c>
      <c r="U252" s="107" t="s">
        <v>29</v>
      </c>
    </row>
    <row r="253" spans="1:21" ht="13.2" x14ac:dyDescent="0.25">
      <c r="A253" s="67" t="s">
        <v>923</v>
      </c>
      <c r="B253" s="108"/>
      <c r="C253" s="92">
        <v>2</v>
      </c>
      <c r="D253" s="93" t="s">
        <v>1092</v>
      </c>
      <c r="E253" s="97" t="s">
        <v>531</v>
      </c>
      <c r="F253" s="92" t="s">
        <v>1076</v>
      </c>
      <c r="G253" s="92" t="s">
        <v>29</v>
      </c>
      <c r="H253" s="92">
        <v>3</v>
      </c>
      <c r="I253" s="107" t="s">
        <v>29</v>
      </c>
      <c r="J253" s="89"/>
      <c r="K253" s="89"/>
      <c r="L253" s="89"/>
      <c r="M253" s="96" t="s">
        <v>925</v>
      </c>
      <c r="N253" s="108"/>
      <c r="O253" s="92">
        <v>2</v>
      </c>
      <c r="P253" s="93" t="s">
        <v>1093</v>
      </c>
      <c r="Q253" s="97" t="s">
        <v>812</v>
      </c>
      <c r="R253" s="92" t="s">
        <v>1075</v>
      </c>
      <c r="S253" s="92">
        <v>3</v>
      </c>
      <c r="T253" s="92" t="s">
        <v>29</v>
      </c>
      <c r="U253" s="107" t="s">
        <v>29</v>
      </c>
    </row>
    <row r="254" spans="1:21" ht="13.2" x14ac:dyDescent="0.25">
      <c r="A254" s="67" t="s">
        <v>923</v>
      </c>
      <c r="B254" s="108"/>
      <c r="C254" s="92">
        <v>3</v>
      </c>
      <c r="D254" s="93" t="s">
        <v>1094</v>
      </c>
      <c r="E254" s="97" t="s">
        <v>554</v>
      </c>
      <c r="F254" s="92" t="s">
        <v>1075</v>
      </c>
      <c r="G254" s="92">
        <v>1</v>
      </c>
      <c r="H254" s="92" t="s">
        <v>29</v>
      </c>
      <c r="I254" s="107" t="s">
        <v>29</v>
      </c>
      <c r="J254" s="89"/>
      <c r="K254" s="89"/>
      <c r="L254" s="89"/>
      <c r="M254" s="96" t="s">
        <v>925</v>
      </c>
      <c r="N254" s="108"/>
      <c r="O254" s="92">
        <v>3</v>
      </c>
      <c r="P254" s="93" t="s">
        <v>1095</v>
      </c>
      <c r="Q254" s="97" t="s">
        <v>532</v>
      </c>
      <c r="R254" s="92" t="s">
        <v>1076</v>
      </c>
      <c r="S254" s="92" t="s">
        <v>29</v>
      </c>
      <c r="T254" s="92">
        <v>1</v>
      </c>
      <c r="U254" s="107" t="s">
        <v>29</v>
      </c>
    </row>
    <row r="255" spans="1:21" ht="13.2" x14ac:dyDescent="0.25">
      <c r="A255" s="67" t="s">
        <v>923</v>
      </c>
      <c r="B255" s="108"/>
      <c r="C255" s="92">
        <v>4</v>
      </c>
      <c r="D255" s="93" t="s">
        <v>1096</v>
      </c>
      <c r="E255" s="97" t="s">
        <v>528</v>
      </c>
      <c r="F255" s="92" t="s">
        <v>1076</v>
      </c>
      <c r="G255" s="92" t="s">
        <v>29</v>
      </c>
      <c r="H255" s="92" t="s">
        <v>29</v>
      </c>
      <c r="I255" s="107" t="s">
        <v>29</v>
      </c>
      <c r="J255" s="89"/>
      <c r="K255" s="89"/>
      <c r="L255" s="89"/>
      <c r="M255" s="96" t="s">
        <v>925</v>
      </c>
      <c r="N255" s="108"/>
      <c r="O255" s="92">
        <v>4</v>
      </c>
      <c r="P255" s="93" t="s">
        <v>1097</v>
      </c>
      <c r="Q255" s="97" t="s">
        <v>533</v>
      </c>
      <c r="R255" s="92" t="s">
        <v>1076</v>
      </c>
      <c r="S255" s="92" t="s">
        <v>29</v>
      </c>
      <c r="T255" s="92" t="s">
        <v>29</v>
      </c>
      <c r="U255" s="107" t="s">
        <v>29</v>
      </c>
    </row>
    <row r="256" spans="1:21" ht="13.2" x14ac:dyDescent="0.25">
      <c r="A256" s="67" t="s">
        <v>923</v>
      </c>
      <c r="B256" s="108"/>
      <c r="C256" s="92">
        <v>5</v>
      </c>
      <c r="D256" s="93" t="s">
        <v>1098</v>
      </c>
      <c r="E256" s="97" t="s">
        <v>529</v>
      </c>
      <c r="F256" s="92" t="s">
        <v>1076</v>
      </c>
      <c r="G256" s="92" t="s">
        <v>29</v>
      </c>
      <c r="H256" s="92" t="s">
        <v>29</v>
      </c>
      <c r="I256" s="107" t="s">
        <v>29</v>
      </c>
      <c r="J256" s="89"/>
      <c r="K256" s="89"/>
      <c r="L256" s="89"/>
      <c r="M256" s="96" t="s">
        <v>29</v>
      </c>
      <c r="N256" s="108"/>
      <c r="O256" s="92" t="s">
        <v>29</v>
      </c>
      <c r="P256" s="93" t="s">
        <v>29</v>
      </c>
      <c r="Q256" s="97" t="s">
        <v>29</v>
      </c>
      <c r="R256" s="92" t="s">
        <v>29</v>
      </c>
      <c r="S256" s="92" t="s">
        <v>29</v>
      </c>
      <c r="T256" s="92" t="s">
        <v>29</v>
      </c>
      <c r="U256" s="107" t="s">
        <v>29</v>
      </c>
    </row>
    <row r="257" spans="1:21" ht="13.2" x14ac:dyDescent="0.25">
      <c r="A257" s="67" t="s">
        <v>923</v>
      </c>
      <c r="B257" s="108"/>
      <c r="C257" s="92">
        <v>6</v>
      </c>
      <c r="D257" s="93" t="s">
        <v>1099</v>
      </c>
      <c r="E257" s="97" t="s">
        <v>530</v>
      </c>
      <c r="F257" s="92" t="s">
        <v>1076</v>
      </c>
      <c r="G257" s="92" t="s">
        <v>29</v>
      </c>
      <c r="H257" s="92" t="s">
        <v>29</v>
      </c>
      <c r="I257" s="107" t="s">
        <v>29</v>
      </c>
      <c r="J257" s="89"/>
      <c r="K257" s="89"/>
      <c r="L257" s="89"/>
      <c r="M257" s="96" t="s">
        <v>29</v>
      </c>
      <c r="N257" s="108"/>
      <c r="O257" s="92" t="s">
        <v>29</v>
      </c>
      <c r="P257" s="93" t="s">
        <v>29</v>
      </c>
      <c r="Q257" s="97" t="s">
        <v>29</v>
      </c>
      <c r="R257" s="92" t="s">
        <v>29</v>
      </c>
      <c r="S257" s="92" t="s">
        <v>29</v>
      </c>
      <c r="T257" s="92" t="s">
        <v>29</v>
      </c>
      <c r="U257" s="107" t="s">
        <v>29</v>
      </c>
    </row>
    <row r="258" spans="1:21" ht="13.2" x14ac:dyDescent="0.25">
      <c r="A258" s="67" t="s">
        <v>923</v>
      </c>
      <c r="B258" s="108"/>
      <c r="C258" s="92">
        <v>7</v>
      </c>
      <c r="D258" s="93" t="s">
        <v>1100</v>
      </c>
      <c r="E258" s="97" t="s">
        <v>811</v>
      </c>
      <c r="F258" s="92" t="s">
        <v>1075</v>
      </c>
      <c r="G258" s="92" t="s">
        <v>29</v>
      </c>
      <c r="H258" s="92" t="s">
        <v>29</v>
      </c>
      <c r="I258" s="107" t="s">
        <v>29</v>
      </c>
      <c r="J258" s="89"/>
      <c r="K258" s="89"/>
      <c r="L258" s="89"/>
      <c r="M258" s="96" t="s">
        <v>29</v>
      </c>
      <c r="N258" s="108"/>
      <c r="O258" s="92" t="s">
        <v>29</v>
      </c>
      <c r="P258" s="93" t="s">
        <v>29</v>
      </c>
      <c r="Q258" s="97" t="s">
        <v>29</v>
      </c>
      <c r="R258" s="92" t="s">
        <v>29</v>
      </c>
      <c r="S258" s="92" t="s">
        <v>29</v>
      </c>
      <c r="T258" s="92" t="s">
        <v>29</v>
      </c>
      <c r="U258" s="107" t="s">
        <v>29</v>
      </c>
    </row>
    <row r="259" spans="1:21" ht="13.2" x14ac:dyDescent="0.25">
      <c r="A259" s="67" t="s">
        <v>923</v>
      </c>
      <c r="B259" s="108"/>
      <c r="C259" s="92">
        <v>8</v>
      </c>
      <c r="D259" s="93" t="s">
        <v>1101</v>
      </c>
      <c r="E259" s="97" t="s">
        <v>809</v>
      </c>
      <c r="F259" s="92" t="s">
        <v>1075</v>
      </c>
      <c r="G259" s="92" t="s">
        <v>29</v>
      </c>
      <c r="H259" s="92" t="s">
        <v>29</v>
      </c>
      <c r="I259" s="107" t="s">
        <v>29</v>
      </c>
      <c r="J259" s="89"/>
      <c r="K259" s="89"/>
      <c r="L259" s="89"/>
      <c r="M259" s="96" t="s">
        <v>29</v>
      </c>
      <c r="N259" s="108"/>
      <c r="O259" s="92" t="s">
        <v>29</v>
      </c>
      <c r="P259" s="93" t="s">
        <v>29</v>
      </c>
      <c r="Q259" s="97" t="s">
        <v>29</v>
      </c>
      <c r="R259" s="92" t="s">
        <v>29</v>
      </c>
      <c r="S259" s="92" t="s">
        <v>29</v>
      </c>
      <c r="T259" s="92" t="s">
        <v>29</v>
      </c>
      <c r="U259" s="107" t="s">
        <v>29</v>
      </c>
    </row>
    <row r="260" spans="1:21" ht="13.2" x14ac:dyDescent="0.25">
      <c r="A260" s="67" t="s">
        <v>923</v>
      </c>
      <c r="B260" s="108"/>
      <c r="C260" s="92">
        <v>9</v>
      </c>
      <c r="D260" s="93" t="s">
        <v>1102</v>
      </c>
      <c r="E260" s="97" t="s">
        <v>171</v>
      </c>
      <c r="F260" s="92" t="s">
        <v>1076</v>
      </c>
      <c r="G260" s="92" t="s">
        <v>29</v>
      </c>
      <c r="H260" s="92" t="s">
        <v>29</v>
      </c>
      <c r="I260" s="107" t="s">
        <v>29</v>
      </c>
      <c r="J260" s="89"/>
      <c r="K260" s="89"/>
      <c r="L260" s="89"/>
      <c r="M260" s="96" t="s">
        <v>29</v>
      </c>
      <c r="N260" s="108"/>
      <c r="O260" s="92" t="s">
        <v>29</v>
      </c>
      <c r="P260" s="93" t="s">
        <v>29</v>
      </c>
      <c r="Q260" s="97" t="s">
        <v>29</v>
      </c>
      <c r="R260" s="92" t="s">
        <v>29</v>
      </c>
      <c r="S260" s="92" t="s">
        <v>29</v>
      </c>
      <c r="T260" s="92" t="s">
        <v>29</v>
      </c>
      <c r="U260" s="107" t="s">
        <v>29</v>
      </c>
    </row>
    <row r="261" spans="1:21" ht="13.2" x14ac:dyDescent="0.25">
      <c r="A261" s="67" t="s">
        <v>923</v>
      </c>
      <c r="B261" s="108"/>
      <c r="C261" s="92">
        <v>10</v>
      </c>
      <c r="D261" s="98" t="s">
        <v>1103</v>
      </c>
      <c r="E261" s="97" t="s">
        <v>742</v>
      </c>
      <c r="F261" s="92" t="s">
        <v>1075</v>
      </c>
      <c r="G261" s="92" t="s">
        <v>29</v>
      </c>
      <c r="H261" s="92" t="s">
        <v>29</v>
      </c>
      <c r="I261" s="107" t="s">
        <v>29</v>
      </c>
      <c r="J261" s="89"/>
      <c r="K261" s="89"/>
      <c r="L261" s="89"/>
      <c r="M261" s="96" t="s">
        <v>29</v>
      </c>
      <c r="N261" s="108"/>
      <c r="O261" s="92" t="s">
        <v>29</v>
      </c>
      <c r="P261" s="98" t="s">
        <v>29</v>
      </c>
      <c r="Q261" s="97" t="s">
        <v>29</v>
      </c>
      <c r="R261" s="92" t="s">
        <v>29</v>
      </c>
      <c r="S261" s="92" t="s">
        <v>29</v>
      </c>
      <c r="T261" s="92" t="s">
        <v>29</v>
      </c>
      <c r="U261" s="107" t="s">
        <v>29</v>
      </c>
    </row>
    <row r="262" spans="1:21" ht="13.2" x14ac:dyDescent="0.25">
      <c r="A262" s="67" t="s">
        <v>29</v>
      </c>
      <c r="B262" s="108"/>
      <c r="C262" s="92" t="s">
        <v>29</v>
      </c>
      <c r="D262" s="98" t="s">
        <v>29</v>
      </c>
      <c r="E262" s="97" t="s">
        <v>29</v>
      </c>
      <c r="F262" s="92" t="s">
        <v>29</v>
      </c>
      <c r="G262" s="92" t="s">
        <v>29</v>
      </c>
      <c r="H262" s="92" t="s">
        <v>29</v>
      </c>
      <c r="I262" s="107" t="s">
        <v>29</v>
      </c>
      <c r="J262" s="89"/>
      <c r="K262" s="89"/>
      <c r="L262" s="89"/>
      <c r="M262" s="96" t="s">
        <v>29</v>
      </c>
      <c r="N262" s="108"/>
      <c r="O262" s="92" t="s">
        <v>29</v>
      </c>
      <c r="P262" s="98" t="s">
        <v>29</v>
      </c>
      <c r="Q262" s="97" t="s">
        <v>29</v>
      </c>
      <c r="R262" s="92" t="s">
        <v>29</v>
      </c>
      <c r="S262" s="92" t="s">
        <v>29</v>
      </c>
      <c r="T262" s="92" t="s">
        <v>29</v>
      </c>
      <c r="U262" s="107" t="s">
        <v>29</v>
      </c>
    </row>
    <row r="263" spans="1:21" ht="13.2" x14ac:dyDescent="0.25">
      <c r="A263" s="67" t="s">
        <v>29</v>
      </c>
      <c r="B263" s="108"/>
      <c r="C263" s="92" t="s">
        <v>29</v>
      </c>
      <c r="D263" s="98" t="s">
        <v>29</v>
      </c>
      <c r="E263" s="97" t="s">
        <v>29</v>
      </c>
      <c r="F263" s="92" t="s">
        <v>29</v>
      </c>
      <c r="G263" s="92" t="s">
        <v>29</v>
      </c>
      <c r="H263" s="92" t="s">
        <v>29</v>
      </c>
      <c r="I263" s="107" t="s">
        <v>29</v>
      </c>
      <c r="J263" s="89"/>
      <c r="K263" s="89"/>
      <c r="L263" s="89"/>
      <c r="M263" s="96" t="s">
        <v>29</v>
      </c>
      <c r="N263" s="108"/>
      <c r="O263" s="92" t="s">
        <v>29</v>
      </c>
      <c r="P263" s="98" t="s">
        <v>29</v>
      </c>
      <c r="Q263" s="97" t="s">
        <v>29</v>
      </c>
      <c r="R263" s="92" t="s">
        <v>29</v>
      </c>
      <c r="S263" s="92" t="s">
        <v>29</v>
      </c>
      <c r="T263" s="92" t="s">
        <v>29</v>
      </c>
      <c r="U263" s="107" t="s">
        <v>29</v>
      </c>
    </row>
    <row r="264" spans="1:21" ht="13.2" x14ac:dyDescent="0.25">
      <c r="A264" s="67" t="s">
        <v>29</v>
      </c>
      <c r="B264" s="108"/>
      <c r="C264" s="92" t="s">
        <v>29</v>
      </c>
      <c r="D264" s="98" t="s">
        <v>29</v>
      </c>
      <c r="E264" s="97" t="s">
        <v>29</v>
      </c>
      <c r="F264" s="92" t="s">
        <v>29</v>
      </c>
      <c r="G264" s="92" t="s">
        <v>29</v>
      </c>
      <c r="H264" s="92" t="s">
        <v>29</v>
      </c>
      <c r="I264" s="107" t="s">
        <v>29</v>
      </c>
      <c r="J264" s="89"/>
      <c r="K264" s="89"/>
      <c r="L264" s="89"/>
      <c r="M264" s="96" t="s">
        <v>29</v>
      </c>
      <c r="N264" s="108"/>
      <c r="O264" s="92" t="s">
        <v>29</v>
      </c>
      <c r="P264" s="98" t="s">
        <v>29</v>
      </c>
      <c r="Q264" s="97" t="s">
        <v>29</v>
      </c>
      <c r="R264" s="92" t="s">
        <v>29</v>
      </c>
      <c r="S264" s="92" t="s">
        <v>29</v>
      </c>
      <c r="T264" s="92" t="s">
        <v>29</v>
      </c>
      <c r="U264" s="107" t="s">
        <v>29</v>
      </c>
    </row>
    <row r="265" spans="1:21" ht="13.2" x14ac:dyDescent="0.25">
      <c r="A265" s="67" t="s">
        <v>29</v>
      </c>
      <c r="B265" s="108"/>
      <c r="C265" s="92" t="s">
        <v>29</v>
      </c>
      <c r="D265" s="98" t="s">
        <v>29</v>
      </c>
      <c r="E265" s="97" t="s">
        <v>29</v>
      </c>
      <c r="F265" s="92" t="s">
        <v>29</v>
      </c>
      <c r="G265" s="92" t="s">
        <v>29</v>
      </c>
      <c r="H265" s="92" t="s">
        <v>29</v>
      </c>
      <c r="I265" s="107" t="s">
        <v>29</v>
      </c>
      <c r="J265" s="89"/>
      <c r="K265" s="89"/>
      <c r="L265" s="89"/>
      <c r="M265" s="96" t="s">
        <v>29</v>
      </c>
      <c r="N265" s="108"/>
      <c r="O265" s="92" t="s">
        <v>29</v>
      </c>
      <c r="P265" s="98" t="s">
        <v>29</v>
      </c>
      <c r="Q265" s="97" t="s">
        <v>29</v>
      </c>
      <c r="R265" s="92" t="s">
        <v>29</v>
      </c>
      <c r="S265" s="92" t="s">
        <v>29</v>
      </c>
      <c r="T265" s="92" t="s">
        <v>29</v>
      </c>
      <c r="U265" s="107" t="s">
        <v>29</v>
      </c>
    </row>
    <row r="266" spans="1:21" ht="13.2" x14ac:dyDescent="0.25">
      <c r="A266" s="67" t="s">
        <v>29</v>
      </c>
      <c r="B266" s="108"/>
      <c r="C266" s="92" t="s">
        <v>29</v>
      </c>
      <c r="D266" s="98" t="s">
        <v>29</v>
      </c>
      <c r="E266" s="97" t="s">
        <v>29</v>
      </c>
      <c r="F266" s="92" t="s">
        <v>29</v>
      </c>
      <c r="G266" s="92" t="s">
        <v>29</v>
      </c>
      <c r="H266" s="92" t="s">
        <v>29</v>
      </c>
      <c r="I266" s="107" t="s">
        <v>29</v>
      </c>
      <c r="J266" s="89"/>
      <c r="K266" s="89"/>
      <c r="L266" s="89"/>
      <c r="M266" s="96" t="s">
        <v>29</v>
      </c>
      <c r="N266" s="108"/>
      <c r="O266" s="92" t="s">
        <v>29</v>
      </c>
      <c r="P266" s="98" t="s">
        <v>29</v>
      </c>
      <c r="Q266" s="97" t="s">
        <v>29</v>
      </c>
      <c r="R266" s="92" t="s">
        <v>29</v>
      </c>
      <c r="S266" s="92" t="s">
        <v>29</v>
      </c>
      <c r="T266" s="92" t="s">
        <v>29</v>
      </c>
      <c r="U266" s="107" t="s">
        <v>29</v>
      </c>
    </row>
    <row r="267" spans="1:21" ht="13.2" x14ac:dyDescent="0.25">
      <c r="A267" s="67" t="s">
        <v>29</v>
      </c>
      <c r="B267" s="108"/>
      <c r="C267" s="219" t="s">
        <v>971</v>
      </c>
      <c r="D267" s="220"/>
      <c r="E267" s="220"/>
      <c r="F267" s="222"/>
      <c r="G267" s="99">
        <v>6</v>
      </c>
      <c r="H267" s="99">
        <v>3</v>
      </c>
      <c r="I267" s="107" t="s">
        <v>29</v>
      </c>
      <c r="J267" s="89"/>
      <c r="K267" s="89"/>
      <c r="L267" s="89"/>
      <c r="M267" s="96" t="s">
        <v>29</v>
      </c>
      <c r="N267" s="108"/>
      <c r="O267" s="219" t="s">
        <v>972</v>
      </c>
      <c r="P267" s="220"/>
      <c r="Q267" s="220"/>
      <c r="R267" s="222"/>
      <c r="S267" s="99">
        <v>8</v>
      </c>
      <c r="T267" s="99">
        <v>1</v>
      </c>
      <c r="U267" s="107" t="s">
        <v>29</v>
      </c>
    </row>
    <row r="268" spans="1:21" ht="13.2" x14ac:dyDescent="0.25">
      <c r="A268" s="67" t="s">
        <v>29</v>
      </c>
      <c r="B268" s="89"/>
      <c r="C268" s="89"/>
      <c r="D268" s="89"/>
      <c r="E268" s="89"/>
      <c r="F268" s="89"/>
      <c r="G268" s="89"/>
      <c r="H268" s="89"/>
      <c r="I268" s="100" t="s">
        <v>29</v>
      </c>
      <c r="J268" s="89"/>
      <c r="K268" s="89"/>
      <c r="L268" s="89"/>
      <c r="M268" s="96" t="s">
        <v>29</v>
      </c>
      <c r="N268" s="89"/>
      <c r="O268" s="89"/>
      <c r="P268" s="89"/>
      <c r="Q268" s="89"/>
      <c r="R268" s="89"/>
      <c r="S268" s="89"/>
      <c r="T268" s="89"/>
      <c r="U268" s="100" t="s">
        <v>29</v>
      </c>
    </row>
    <row r="269" spans="1:21" ht="13.2" x14ac:dyDescent="0.25">
      <c r="A269" s="67" t="s">
        <v>29</v>
      </c>
      <c r="B269" s="101"/>
      <c r="C269" s="101"/>
      <c r="D269" s="101"/>
      <c r="E269" s="101"/>
      <c r="F269" s="101"/>
      <c r="G269" s="101"/>
      <c r="H269" s="101"/>
      <c r="I269" s="102" t="s">
        <v>29</v>
      </c>
      <c r="J269" s="89"/>
      <c r="K269" s="89"/>
      <c r="L269" s="89"/>
      <c r="M269" s="96" t="s">
        <v>29</v>
      </c>
      <c r="N269" s="101"/>
      <c r="O269" s="101"/>
      <c r="P269" s="101"/>
      <c r="Q269" s="101"/>
      <c r="R269" s="101"/>
      <c r="S269" s="101"/>
      <c r="T269" s="101"/>
      <c r="U269" s="102" t="s">
        <v>29</v>
      </c>
    </row>
    <row r="270" spans="1:21" ht="13.2" x14ac:dyDescent="0.25">
      <c r="A270" s="67" t="s">
        <v>927</v>
      </c>
      <c r="B270" s="111"/>
      <c r="C270" s="112" t="s">
        <v>936</v>
      </c>
      <c r="D270" s="113" t="s">
        <v>928</v>
      </c>
      <c r="E270" s="114" t="s">
        <v>2</v>
      </c>
      <c r="F270" s="114" t="s">
        <v>937</v>
      </c>
      <c r="G270" s="114" t="s">
        <v>917</v>
      </c>
      <c r="H270" s="114" t="s">
        <v>918</v>
      </c>
      <c r="I270" s="95" t="s">
        <v>29</v>
      </c>
      <c r="J270" s="89"/>
      <c r="K270" s="89"/>
      <c r="L270" s="89"/>
      <c r="M270" s="90" t="s">
        <v>929</v>
      </c>
      <c r="N270" s="115"/>
      <c r="O270" s="112" t="s">
        <v>936</v>
      </c>
      <c r="P270" s="113" t="s">
        <v>930</v>
      </c>
      <c r="Q270" s="114" t="s">
        <v>2</v>
      </c>
      <c r="R270" s="114" t="s">
        <v>937</v>
      </c>
      <c r="S270" s="114" t="s">
        <v>917</v>
      </c>
      <c r="T270" s="114" t="s">
        <v>918</v>
      </c>
      <c r="U270" s="95" t="s">
        <v>29</v>
      </c>
    </row>
    <row r="271" spans="1:21" ht="13.2" x14ac:dyDescent="0.25">
      <c r="A271" s="67" t="s">
        <v>927</v>
      </c>
      <c r="B271" s="84"/>
      <c r="C271" s="92">
        <v>1</v>
      </c>
      <c r="D271" s="93" t="s">
        <v>1104</v>
      </c>
      <c r="E271" s="94" t="s">
        <v>524</v>
      </c>
      <c r="F271" s="92" t="s">
        <v>1076</v>
      </c>
      <c r="G271" s="92" t="s">
        <v>29</v>
      </c>
      <c r="H271" s="92">
        <v>5</v>
      </c>
      <c r="I271" s="95" t="s">
        <v>29</v>
      </c>
      <c r="J271" s="89"/>
      <c r="K271" s="89"/>
      <c r="L271" s="89"/>
      <c r="M271" s="96" t="s">
        <v>929</v>
      </c>
      <c r="N271" s="84"/>
      <c r="O271" s="92">
        <v>1</v>
      </c>
      <c r="P271" s="93" t="s">
        <v>1105</v>
      </c>
      <c r="Q271" s="94" t="s">
        <v>808</v>
      </c>
      <c r="R271" s="92" t="s">
        <v>1075</v>
      </c>
      <c r="S271" s="92">
        <v>5</v>
      </c>
      <c r="T271" s="92" t="s">
        <v>29</v>
      </c>
      <c r="U271" s="95" t="s">
        <v>29</v>
      </c>
    </row>
    <row r="272" spans="1:21" ht="13.2" x14ac:dyDescent="0.25">
      <c r="A272" s="67" t="s">
        <v>927</v>
      </c>
      <c r="B272" s="84"/>
      <c r="C272" s="92">
        <v>2</v>
      </c>
      <c r="D272" s="93" t="s">
        <v>1106</v>
      </c>
      <c r="E272" s="97" t="s">
        <v>526</v>
      </c>
      <c r="F272" s="92" t="s">
        <v>1076</v>
      </c>
      <c r="G272" s="92" t="s">
        <v>29</v>
      </c>
      <c r="H272" s="92">
        <v>3</v>
      </c>
      <c r="I272" s="95" t="s">
        <v>29</v>
      </c>
      <c r="J272" s="89"/>
      <c r="K272" s="89"/>
      <c r="L272" s="89"/>
      <c r="M272" s="96" t="s">
        <v>929</v>
      </c>
      <c r="N272" s="84"/>
      <c r="O272" s="92">
        <v>2</v>
      </c>
      <c r="P272" s="93" t="s">
        <v>1107</v>
      </c>
      <c r="Q272" s="97" t="s">
        <v>160</v>
      </c>
      <c r="R272" s="92" t="s">
        <v>1075</v>
      </c>
      <c r="S272" s="92">
        <v>3</v>
      </c>
      <c r="T272" s="92" t="s">
        <v>29</v>
      </c>
      <c r="U272" s="95" t="s">
        <v>29</v>
      </c>
    </row>
    <row r="273" spans="1:21" ht="13.2" x14ac:dyDescent="0.25">
      <c r="A273" s="67" t="s">
        <v>927</v>
      </c>
      <c r="B273" s="84"/>
      <c r="C273" s="92">
        <v>3</v>
      </c>
      <c r="D273" s="93" t="s">
        <v>1108</v>
      </c>
      <c r="E273" s="97" t="s">
        <v>523</v>
      </c>
      <c r="F273" s="92" t="s">
        <v>1076</v>
      </c>
      <c r="G273" s="92" t="s">
        <v>29</v>
      </c>
      <c r="H273" s="92">
        <v>1</v>
      </c>
      <c r="I273" s="95" t="s">
        <v>29</v>
      </c>
      <c r="J273" s="89"/>
      <c r="K273" s="89"/>
      <c r="L273" s="89"/>
      <c r="M273" s="96" t="s">
        <v>929</v>
      </c>
      <c r="N273" s="84"/>
      <c r="O273" s="92">
        <v>3</v>
      </c>
      <c r="P273" s="93" t="s">
        <v>1109</v>
      </c>
      <c r="Q273" s="97" t="s">
        <v>527</v>
      </c>
      <c r="R273" s="92" t="s">
        <v>1076</v>
      </c>
      <c r="S273" s="92" t="s">
        <v>29</v>
      </c>
      <c r="T273" s="92">
        <v>1</v>
      </c>
      <c r="U273" s="95" t="s">
        <v>29</v>
      </c>
    </row>
    <row r="274" spans="1:21" ht="13.2" x14ac:dyDescent="0.25">
      <c r="A274" s="67" t="s">
        <v>927</v>
      </c>
      <c r="B274" s="84"/>
      <c r="C274" s="92">
        <v>4</v>
      </c>
      <c r="D274" s="93" t="s">
        <v>1110</v>
      </c>
      <c r="E274" s="97" t="s">
        <v>525</v>
      </c>
      <c r="F274" s="92" t="s">
        <v>1076</v>
      </c>
      <c r="G274" s="92" t="s">
        <v>29</v>
      </c>
      <c r="H274" s="92" t="s">
        <v>29</v>
      </c>
      <c r="I274" s="95" t="s">
        <v>29</v>
      </c>
      <c r="J274" s="89"/>
      <c r="K274" s="89"/>
      <c r="L274" s="89"/>
      <c r="M274" s="96" t="s">
        <v>29</v>
      </c>
      <c r="N274" s="84"/>
      <c r="O274" s="92" t="s">
        <v>29</v>
      </c>
      <c r="P274" s="93" t="s">
        <v>29</v>
      </c>
      <c r="Q274" s="97" t="s">
        <v>29</v>
      </c>
      <c r="R274" s="92" t="s">
        <v>29</v>
      </c>
      <c r="S274" s="92" t="s">
        <v>29</v>
      </c>
      <c r="T274" s="92" t="s">
        <v>29</v>
      </c>
      <c r="U274" s="95" t="s">
        <v>29</v>
      </c>
    </row>
    <row r="275" spans="1:21" ht="13.2" x14ac:dyDescent="0.25">
      <c r="A275" s="67" t="s">
        <v>927</v>
      </c>
      <c r="B275" s="84"/>
      <c r="C275" s="92">
        <v>5</v>
      </c>
      <c r="D275" s="93" t="s">
        <v>1111</v>
      </c>
      <c r="E275" s="97" t="s">
        <v>807</v>
      </c>
      <c r="F275" s="92" t="s">
        <v>1075</v>
      </c>
      <c r="G275" s="92" t="s">
        <v>29</v>
      </c>
      <c r="H275" s="92" t="s">
        <v>29</v>
      </c>
      <c r="I275" s="95" t="s">
        <v>29</v>
      </c>
      <c r="J275" s="89"/>
      <c r="K275" s="89"/>
      <c r="L275" s="89"/>
      <c r="M275" s="96" t="s">
        <v>29</v>
      </c>
      <c r="N275" s="84"/>
      <c r="O275" s="92" t="s">
        <v>29</v>
      </c>
      <c r="P275" s="93" t="s">
        <v>29</v>
      </c>
      <c r="Q275" s="97" t="s">
        <v>29</v>
      </c>
      <c r="R275" s="92" t="s">
        <v>29</v>
      </c>
      <c r="S275" s="92" t="s">
        <v>29</v>
      </c>
      <c r="T275" s="92" t="s">
        <v>29</v>
      </c>
      <c r="U275" s="95" t="s">
        <v>29</v>
      </c>
    </row>
    <row r="276" spans="1:21" ht="13.2" x14ac:dyDescent="0.25">
      <c r="A276" s="67" t="s">
        <v>29</v>
      </c>
      <c r="B276" s="84"/>
      <c r="C276" s="92" t="s">
        <v>29</v>
      </c>
      <c r="D276" s="93" t="s">
        <v>29</v>
      </c>
      <c r="E276" s="97" t="s">
        <v>29</v>
      </c>
      <c r="F276" s="92" t="s">
        <v>29</v>
      </c>
      <c r="G276" s="92" t="s">
        <v>29</v>
      </c>
      <c r="H276" s="92" t="s">
        <v>29</v>
      </c>
      <c r="I276" s="95" t="s">
        <v>29</v>
      </c>
      <c r="J276" s="89"/>
      <c r="K276" s="89"/>
      <c r="L276" s="89"/>
      <c r="M276" s="96" t="s">
        <v>29</v>
      </c>
      <c r="N276" s="84"/>
      <c r="O276" s="92" t="s">
        <v>29</v>
      </c>
      <c r="P276" s="93" t="s">
        <v>29</v>
      </c>
      <c r="Q276" s="97" t="s">
        <v>29</v>
      </c>
      <c r="R276" s="92" t="s">
        <v>29</v>
      </c>
      <c r="S276" s="92" t="s">
        <v>29</v>
      </c>
      <c r="T276" s="92" t="s">
        <v>29</v>
      </c>
      <c r="U276" s="95" t="s">
        <v>29</v>
      </c>
    </row>
    <row r="277" spans="1:21" ht="13.2" x14ac:dyDescent="0.25">
      <c r="A277" s="67" t="s">
        <v>29</v>
      </c>
      <c r="B277" s="84"/>
      <c r="C277" s="92" t="s">
        <v>29</v>
      </c>
      <c r="D277" s="93" t="s">
        <v>29</v>
      </c>
      <c r="E277" s="97" t="s">
        <v>29</v>
      </c>
      <c r="F277" s="92" t="s">
        <v>29</v>
      </c>
      <c r="G277" s="92" t="s">
        <v>29</v>
      </c>
      <c r="H277" s="92" t="s">
        <v>29</v>
      </c>
      <c r="I277" s="95" t="s">
        <v>29</v>
      </c>
      <c r="J277" s="89"/>
      <c r="K277" s="89"/>
      <c r="L277" s="89"/>
      <c r="M277" s="96" t="s">
        <v>29</v>
      </c>
      <c r="N277" s="84"/>
      <c r="O277" s="92" t="s">
        <v>29</v>
      </c>
      <c r="P277" s="93" t="s">
        <v>29</v>
      </c>
      <c r="Q277" s="97" t="s">
        <v>29</v>
      </c>
      <c r="R277" s="92" t="s">
        <v>29</v>
      </c>
      <c r="S277" s="92" t="s">
        <v>29</v>
      </c>
      <c r="T277" s="92" t="s">
        <v>29</v>
      </c>
      <c r="U277" s="95" t="s">
        <v>29</v>
      </c>
    </row>
    <row r="278" spans="1:21" ht="13.2" x14ac:dyDescent="0.25">
      <c r="A278" s="67" t="s">
        <v>29</v>
      </c>
      <c r="B278" s="84"/>
      <c r="C278" s="92" t="s">
        <v>29</v>
      </c>
      <c r="D278" s="93" t="s">
        <v>29</v>
      </c>
      <c r="E278" s="97" t="s">
        <v>29</v>
      </c>
      <c r="F278" s="92" t="s">
        <v>29</v>
      </c>
      <c r="G278" s="92" t="s">
        <v>29</v>
      </c>
      <c r="H278" s="92" t="s">
        <v>29</v>
      </c>
      <c r="I278" s="95" t="s">
        <v>29</v>
      </c>
      <c r="J278" s="89"/>
      <c r="K278" s="89"/>
      <c r="L278" s="89"/>
      <c r="M278" s="96" t="s">
        <v>29</v>
      </c>
      <c r="N278" s="84"/>
      <c r="O278" s="92" t="s">
        <v>29</v>
      </c>
      <c r="P278" s="93" t="s">
        <v>29</v>
      </c>
      <c r="Q278" s="97" t="s">
        <v>29</v>
      </c>
      <c r="R278" s="92" t="s">
        <v>29</v>
      </c>
      <c r="S278" s="92" t="s">
        <v>29</v>
      </c>
      <c r="T278" s="92" t="s">
        <v>29</v>
      </c>
      <c r="U278" s="95" t="s">
        <v>29</v>
      </c>
    </row>
    <row r="279" spans="1:21" ht="13.2" x14ac:dyDescent="0.25">
      <c r="A279" s="67"/>
      <c r="B279" s="84"/>
      <c r="C279" s="92" t="s">
        <v>29</v>
      </c>
      <c r="D279" s="93" t="s">
        <v>29</v>
      </c>
      <c r="E279" s="97" t="s">
        <v>29</v>
      </c>
      <c r="F279" s="92" t="s">
        <v>29</v>
      </c>
      <c r="G279" s="92" t="s">
        <v>29</v>
      </c>
      <c r="H279" s="92" t="s">
        <v>29</v>
      </c>
      <c r="I279" s="95" t="s">
        <v>29</v>
      </c>
      <c r="J279" s="89"/>
      <c r="K279" s="89"/>
      <c r="L279" s="89"/>
      <c r="M279" s="96"/>
      <c r="N279" s="84"/>
      <c r="O279" s="92" t="s">
        <v>29</v>
      </c>
      <c r="P279" s="93" t="s">
        <v>29</v>
      </c>
      <c r="Q279" s="97" t="s">
        <v>29</v>
      </c>
      <c r="R279" s="92" t="s">
        <v>29</v>
      </c>
      <c r="S279" s="92" t="s">
        <v>29</v>
      </c>
      <c r="T279" s="92" t="s">
        <v>29</v>
      </c>
      <c r="U279" s="95" t="s">
        <v>29</v>
      </c>
    </row>
    <row r="280" spans="1:21" ht="13.2" x14ac:dyDescent="0.25">
      <c r="A280" s="67"/>
      <c r="B280" s="84"/>
      <c r="C280" s="92" t="s">
        <v>29</v>
      </c>
      <c r="D280" s="93" t="s">
        <v>29</v>
      </c>
      <c r="E280" s="97" t="s">
        <v>29</v>
      </c>
      <c r="F280" s="92" t="s">
        <v>29</v>
      </c>
      <c r="G280" s="92" t="s">
        <v>29</v>
      </c>
      <c r="H280" s="92" t="s">
        <v>29</v>
      </c>
      <c r="I280" s="95" t="s">
        <v>29</v>
      </c>
      <c r="J280" s="89"/>
      <c r="K280" s="89"/>
      <c r="L280" s="89"/>
      <c r="M280" s="96"/>
      <c r="N280" s="84"/>
      <c r="O280" s="92" t="s">
        <v>29</v>
      </c>
      <c r="P280" s="93" t="s">
        <v>29</v>
      </c>
      <c r="Q280" s="97" t="s">
        <v>29</v>
      </c>
      <c r="R280" s="92" t="s">
        <v>29</v>
      </c>
      <c r="S280" s="92" t="s">
        <v>29</v>
      </c>
      <c r="T280" s="92" t="s">
        <v>29</v>
      </c>
      <c r="U280" s="95" t="s">
        <v>29</v>
      </c>
    </row>
    <row r="281" spans="1:21" ht="13.2" x14ac:dyDescent="0.25">
      <c r="A281" s="67"/>
      <c r="B281" s="84"/>
      <c r="C281" s="92" t="s">
        <v>29</v>
      </c>
      <c r="D281" s="93" t="s">
        <v>29</v>
      </c>
      <c r="E281" s="97" t="s">
        <v>29</v>
      </c>
      <c r="F281" s="92" t="s">
        <v>29</v>
      </c>
      <c r="G281" s="92" t="s">
        <v>29</v>
      </c>
      <c r="H281" s="92" t="s">
        <v>29</v>
      </c>
      <c r="I281" s="95" t="s">
        <v>29</v>
      </c>
      <c r="J281" s="89"/>
      <c r="K281" s="89"/>
      <c r="L281" s="89"/>
      <c r="M281" s="96"/>
      <c r="N281" s="84"/>
      <c r="O281" s="92" t="s">
        <v>29</v>
      </c>
      <c r="P281" s="93" t="s">
        <v>29</v>
      </c>
      <c r="Q281" s="97" t="s">
        <v>29</v>
      </c>
      <c r="R281" s="92" t="s">
        <v>29</v>
      </c>
      <c r="S281" s="92" t="s">
        <v>29</v>
      </c>
      <c r="T281" s="92" t="s">
        <v>29</v>
      </c>
      <c r="U281" s="95" t="s">
        <v>29</v>
      </c>
    </row>
    <row r="282" spans="1:21" ht="13.2" x14ac:dyDescent="0.25">
      <c r="A282" s="67"/>
      <c r="B282" s="84"/>
      <c r="C282" s="92" t="s">
        <v>29</v>
      </c>
      <c r="D282" s="93" t="s">
        <v>29</v>
      </c>
      <c r="E282" s="97" t="s">
        <v>29</v>
      </c>
      <c r="F282" s="92" t="s">
        <v>29</v>
      </c>
      <c r="G282" s="92" t="s">
        <v>29</v>
      </c>
      <c r="H282" s="92" t="s">
        <v>29</v>
      </c>
      <c r="I282" s="95" t="s">
        <v>29</v>
      </c>
      <c r="J282" s="89"/>
      <c r="K282" s="89"/>
      <c r="L282" s="89"/>
      <c r="M282" s="96"/>
      <c r="N282" s="84"/>
      <c r="O282" s="92" t="s">
        <v>29</v>
      </c>
      <c r="P282" s="93" t="s">
        <v>29</v>
      </c>
      <c r="Q282" s="97" t="s">
        <v>29</v>
      </c>
      <c r="R282" s="92" t="s">
        <v>29</v>
      </c>
      <c r="S282" s="92" t="s">
        <v>29</v>
      </c>
      <c r="T282" s="92" t="s">
        <v>29</v>
      </c>
      <c r="U282" s="95" t="s">
        <v>29</v>
      </c>
    </row>
    <row r="283" spans="1:21" ht="13.2" x14ac:dyDescent="0.25">
      <c r="A283" s="67"/>
      <c r="B283" s="84"/>
      <c r="C283" s="92" t="s">
        <v>29</v>
      </c>
      <c r="D283" s="98" t="s">
        <v>29</v>
      </c>
      <c r="E283" s="97" t="s">
        <v>29</v>
      </c>
      <c r="F283" s="92" t="s">
        <v>29</v>
      </c>
      <c r="G283" s="92" t="s">
        <v>29</v>
      </c>
      <c r="H283" s="92" t="s">
        <v>29</v>
      </c>
      <c r="I283" s="95" t="s">
        <v>29</v>
      </c>
      <c r="J283" s="89"/>
      <c r="K283" s="89"/>
      <c r="L283" s="89"/>
      <c r="M283" s="96"/>
      <c r="N283" s="84"/>
      <c r="O283" s="92" t="s">
        <v>29</v>
      </c>
      <c r="P283" s="98" t="s">
        <v>29</v>
      </c>
      <c r="Q283" s="97" t="s">
        <v>29</v>
      </c>
      <c r="R283" s="92" t="s">
        <v>29</v>
      </c>
      <c r="S283" s="92" t="s">
        <v>29</v>
      </c>
      <c r="T283" s="92" t="s">
        <v>29</v>
      </c>
      <c r="U283" s="95" t="s">
        <v>29</v>
      </c>
    </row>
    <row r="284" spans="1:21" ht="13.2" x14ac:dyDescent="0.25">
      <c r="A284" s="67" t="s">
        <v>29</v>
      </c>
      <c r="B284" s="84"/>
      <c r="C284" s="92" t="s">
        <v>29</v>
      </c>
      <c r="D284" s="98" t="s">
        <v>29</v>
      </c>
      <c r="E284" s="97" t="s">
        <v>29</v>
      </c>
      <c r="F284" s="92" t="s">
        <v>29</v>
      </c>
      <c r="G284" s="92" t="s">
        <v>29</v>
      </c>
      <c r="H284" s="92" t="s">
        <v>29</v>
      </c>
      <c r="I284" s="95" t="s">
        <v>29</v>
      </c>
      <c r="J284" s="89"/>
      <c r="K284" s="89"/>
      <c r="L284" s="89"/>
      <c r="M284" s="96" t="s">
        <v>29</v>
      </c>
      <c r="N284" s="84"/>
      <c r="O284" s="92" t="s">
        <v>29</v>
      </c>
      <c r="P284" s="98" t="s">
        <v>29</v>
      </c>
      <c r="Q284" s="97" t="s">
        <v>29</v>
      </c>
      <c r="R284" s="92" t="s">
        <v>29</v>
      </c>
      <c r="S284" s="92" t="s">
        <v>29</v>
      </c>
      <c r="T284" s="92" t="s">
        <v>29</v>
      </c>
      <c r="U284" s="95" t="s">
        <v>29</v>
      </c>
    </row>
    <row r="285" spans="1:21" ht="13.2" x14ac:dyDescent="0.25">
      <c r="A285" s="67" t="s">
        <v>29</v>
      </c>
      <c r="B285" s="84"/>
      <c r="C285" s="92" t="s">
        <v>29</v>
      </c>
      <c r="D285" s="98" t="s">
        <v>29</v>
      </c>
      <c r="E285" s="97" t="s">
        <v>29</v>
      </c>
      <c r="F285" s="92" t="s">
        <v>29</v>
      </c>
      <c r="G285" s="92" t="s">
        <v>29</v>
      </c>
      <c r="H285" s="92" t="s">
        <v>29</v>
      </c>
      <c r="I285" s="95" t="s">
        <v>29</v>
      </c>
      <c r="J285" s="89"/>
      <c r="K285" s="89"/>
      <c r="L285" s="89"/>
      <c r="M285" s="96" t="s">
        <v>29</v>
      </c>
      <c r="N285" s="84"/>
      <c r="O285" s="92" t="s">
        <v>29</v>
      </c>
      <c r="P285" s="98" t="s">
        <v>29</v>
      </c>
      <c r="Q285" s="97" t="s">
        <v>29</v>
      </c>
      <c r="R285" s="92" t="s">
        <v>29</v>
      </c>
      <c r="S285" s="92" t="s">
        <v>29</v>
      </c>
      <c r="T285" s="92" t="s">
        <v>29</v>
      </c>
      <c r="U285" s="95" t="s">
        <v>29</v>
      </c>
    </row>
    <row r="286" spans="1:21" ht="13.2" x14ac:dyDescent="0.25">
      <c r="A286" s="67" t="s">
        <v>29</v>
      </c>
      <c r="B286" s="84"/>
      <c r="C286" s="219" t="s">
        <v>984</v>
      </c>
      <c r="D286" s="220"/>
      <c r="E286" s="220"/>
      <c r="F286" s="220"/>
      <c r="G286" s="99">
        <v>0</v>
      </c>
      <c r="H286" s="99">
        <v>9</v>
      </c>
      <c r="I286" s="95" t="s">
        <v>29</v>
      </c>
      <c r="J286" s="89"/>
      <c r="K286" s="89"/>
      <c r="L286" s="89"/>
      <c r="M286" s="96" t="s">
        <v>29</v>
      </c>
      <c r="N286" s="84"/>
      <c r="O286" s="219" t="s">
        <v>985</v>
      </c>
      <c r="P286" s="220"/>
      <c r="Q286" s="220"/>
      <c r="R286" s="220"/>
      <c r="S286" s="99">
        <v>8</v>
      </c>
      <c r="T286" s="99">
        <v>1</v>
      </c>
      <c r="U286" s="95" t="s">
        <v>29</v>
      </c>
    </row>
    <row r="287" spans="1:21" ht="13.2" x14ac:dyDescent="0.25">
      <c r="A287" s="67" t="s">
        <v>29</v>
      </c>
      <c r="B287" s="89"/>
      <c r="C287" s="89"/>
      <c r="D287" s="89"/>
      <c r="E287" s="89"/>
      <c r="F287" s="89"/>
      <c r="G287" s="89"/>
      <c r="H287" s="89"/>
      <c r="I287" s="100" t="s">
        <v>29</v>
      </c>
      <c r="J287" s="89"/>
      <c r="K287" s="89"/>
      <c r="L287" s="89"/>
      <c r="M287" s="96" t="s">
        <v>29</v>
      </c>
      <c r="N287" s="89"/>
      <c r="O287" s="89"/>
      <c r="P287" s="89"/>
      <c r="Q287" s="89"/>
      <c r="R287" s="89"/>
      <c r="S287" s="89"/>
      <c r="T287" s="89"/>
      <c r="U287" s="100" t="s">
        <v>29</v>
      </c>
    </row>
    <row r="288" spans="1:21" ht="13.2" x14ac:dyDescent="0.25">
      <c r="A288" s="67" t="s">
        <v>29</v>
      </c>
      <c r="B288" s="101"/>
      <c r="C288" s="101"/>
      <c r="D288" s="101"/>
      <c r="E288" s="101"/>
      <c r="F288" s="101"/>
      <c r="G288" s="101"/>
      <c r="H288" s="101"/>
      <c r="I288" s="102" t="s">
        <v>29</v>
      </c>
      <c r="J288" s="89"/>
      <c r="K288" s="89"/>
      <c r="L288" s="89"/>
      <c r="M288" s="96" t="s">
        <v>29</v>
      </c>
      <c r="N288" s="101"/>
      <c r="O288" s="101"/>
      <c r="P288" s="101"/>
      <c r="Q288" s="101"/>
      <c r="R288" s="101"/>
      <c r="S288" s="101"/>
      <c r="T288" s="101"/>
      <c r="U288" s="102" t="s">
        <v>29</v>
      </c>
    </row>
    <row r="289" spans="1:21" ht="13.2" x14ac:dyDescent="0.25">
      <c r="A289" s="67" t="s">
        <v>931</v>
      </c>
      <c r="B289" s="103"/>
      <c r="C289" s="104" t="s">
        <v>936</v>
      </c>
      <c r="D289" s="105" t="s">
        <v>932</v>
      </c>
      <c r="E289" s="106" t="s">
        <v>2</v>
      </c>
      <c r="F289" s="106" t="s">
        <v>937</v>
      </c>
      <c r="G289" s="106" t="s">
        <v>917</v>
      </c>
      <c r="H289" s="106" t="s">
        <v>918</v>
      </c>
      <c r="I289" s="107" t="s">
        <v>29</v>
      </c>
      <c r="J289" s="89"/>
      <c r="K289" s="89"/>
      <c r="L289" s="89"/>
      <c r="M289" s="90" t="s">
        <v>933</v>
      </c>
      <c r="N289" s="116"/>
      <c r="O289" s="104" t="s">
        <v>936</v>
      </c>
      <c r="P289" s="105" t="s">
        <v>934</v>
      </c>
      <c r="Q289" s="106" t="s">
        <v>2</v>
      </c>
      <c r="R289" s="106" t="s">
        <v>937</v>
      </c>
      <c r="S289" s="106" t="s">
        <v>917</v>
      </c>
      <c r="T289" s="106" t="s">
        <v>918</v>
      </c>
      <c r="U289" s="107" t="s">
        <v>29</v>
      </c>
    </row>
    <row r="290" spans="1:21" ht="13.2" x14ac:dyDescent="0.25">
      <c r="A290" s="67" t="s">
        <v>931</v>
      </c>
      <c r="B290" s="108"/>
      <c r="C290" s="92">
        <v>1</v>
      </c>
      <c r="D290" s="93" t="s">
        <v>1112</v>
      </c>
      <c r="E290" s="94" t="s">
        <v>536</v>
      </c>
      <c r="F290" s="92" t="s">
        <v>1076</v>
      </c>
      <c r="G290" s="92" t="s">
        <v>29</v>
      </c>
      <c r="H290" s="92">
        <v>5</v>
      </c>
      <c r="I290" s="107" t="s">
        <v>29</v>
      </c>
      <c r="J290" s="89"/>
      <c r="K290" s="89"/>
      <c r="L290" s="89"/>
      <c r="M290" s="96" t="s">
        <v>933</v>
      </c>
      <c r="N290" s="108"/>
      <c r="O290" s="92">
        <v>1</v>
      </c>
      <c r="P290" s="93" t="s">
        <v>1113</v>
      </c>
      <c r="Q290" s="94" t="s">
        <v>815</v>
      </c>
      <c r="R290" s="92" t="s">
        <v>1075</v>
      </c>
      <c r="S290" s="92">
        <v>5</v>
      </c>
      <c r="T290" s="92" t="s">
        <v>29</v>
      </c>
      <c r="U290" s="107" t="s">
        <v>29</v>
      </c>
    </row>
    <row r="291" spans="1:21" ht="13.2" x14ac:dyDescent="0.25">
      <c r="A291" s="67" t="s">
        <v>931</v>
      </c>
      <c r="B291" s="108"/>
      <c r="C291" s="92">
        <v>2</v>
      </c>
      <c r="D291" s="93" t="s">
        <v>1114</v>
      </c>
      <c r="E291" s="97" t="s">
        <v>538</v>
      </c>
      <c r="F291" s="92" t="s">
        <v>1076</v>
      </c>
      <c r="G291" s="92" t="s">
        <v>29</v>
      </c>
      <c r="H291" s="92">
        <v>3</v>
      </c>
      <c r="I291" s="107" t="s">
        <v>29</v>
      </c>
      <c r="J291" s="89"/>
      <c r="K291" s="89"/>
      <c r="L291" s="89"/>
      <c r="M291" s="96" t="s">
        <v>933</v>
      </c>
      <c r="N291" s="108"/>
      <c r="O291" s="92">
        <v>2</v>
      </c>
      <c r="P291" s="93" t="s">
        <v>1115</v>
      </c>
      <c r="Q291" s="97" t="s">
        <v>816</v>
      </c>
      <c r="R291" s="92" t="s">
        <v>1075</v>
      </c>
      <c r="S291" s="92">
        <v>3</v>
      </c>
      <c r="T291" s="92" t="s">
        <v>29</v>
      </c>
      <c r="U291" s="107" t="s">
        <v>29</v>
      </c>
    </row>
    <row r="292" spans="1:21" ht="13.2" x14ac:dyDescent="0.25">
      <c r="A292" s="67" t="s">
        <v>931</v>
      </c>
      <c r="B292" s="108"/>
      <c r="C292" s="92">
        <v>3</v>
      </c>
      <c r="D292" s="93" t="s">
        <v>1116</v>
      </c>
      <c r="E292" s="97" t="s">
        <v>537</v>
      </c>
      <c r="F292" s="92" t="s">
        <v>1076</v>
      </c>
      <c r="G292" s="92" t="s">
        <v>29</v>
      </c>
      <c r="H292" s="92">
        <v>1</v>
      </c>
      <c r="I292" s="107" t="s">
        <v>29</v>
      </c>
      <c r="J292" s="89"/>
      <c r="K292" s="89"/>
      <c r="L292" s="89"/>
      <c r="M292" s="96" t="s">
        <v>933</v>
      </c>
      <c r="N292" s="108"/>
      <c r="O292" s="92">
        <v>3</v>
      </c>
      <c r="P292" s="93" t="s">
        <v>1117</v>
      </c>
      <c r="Q292" s="97" t="s">
        <v>814</v>
      </c>
      <c r="R292" s="92" t="s">
        <v>1075</v>
      </c>
      <c r="S292" s="92">
        <v>1</v>
      </c>
      <c r="T292" s="92" t="s">
        <v>29</v>
      </c>
      <c r="U292" s="107" t="s">
        <v>29</v>
      </c>
    </row>
    <row r="293" spans="1:21" ht="13.2" x14ac:dyDescent="0.25">
      <c r="A293" s="67" t="s">
        <v>931</v>
      </c>
      <c r="B293" s="108"/>
      <c r="C293" s="92">
        <v>4</v>
      </c>
      <c r="D293" s="93" t="s">
        <v>1118</v>
      </c>
      <c r="E293" s="97" t="s">
        <v>813</v>
      </c>
      <c r="F293" s="92" t="s">
        <v>1075</v>
      </c>
      <c r="G293" s="92" t="s">
        <v>29</v>
      </c>
      <c r="H293" s="92" t="s">
        <v>29</v>
      </c>
      <c r="I293" s="107" t="s">
        <v>29</v>
      </c>
      <c r="J293" s="89"/>
      <c r="K293" s="89"/>
      <c r="L293" s="89"/>
      <c r="M293" s="96" t="s">
        <v>933</v>
      </c>
      <c r="N293" s="108"/>
      <c r="O293" s="92">
        <v>4</v>
      </c>
      <c r="P293" s="93" t="s">
        <v>1119</v>
      </c>
      <c r="Q293" s="97" t="s">
        <v>539</v>
      </c>
      <c r="R293" s="92" t="s">
        <v>1076</v>
      </c>
      <c r="S293" s="92" t="s">
        <v>29</v>
      </c>
      <c r="T293" s="92" t="s">
        <v>29</v>
      </c>
      <c r="U293" s="107" t="s">
        <v>29</v>
      </c>
    </row>
    <row r="294" spans="1:21" ht="13.2" x14ac:dyDescent="0.25">
      <c r="A294" s="67" t="s">
        <v>931</v>
      </c>
      <c r="B294" s="108"/>
      <c r="C294" s="92">
        <v>5</v>
      </c>
      <c r="D294" s="93" t="s">
        <v>1120</v>
      </c>
      <c r="E294" s="97" t="s">
        <v>534</v>
      </c>
      <c r="F294" s="92" t="s">
        <v>1076</v>
      </c>
      <c r="G294" s="92" t="s">
        <v>29</v>
      </c>
      <c r="H294" s="92" t="s">
        <v>29</v>
      </c>
      <c r="I294" s="107" t="s">
        <v>29</v>
      </c>
      <c r="J294" s="89"/>
      <c r="K294" s="89"/>
      <c r="L294" s="89"/>
      <c r="M294" s="96" t="s">
        <v>933</v>
      </c>
      <c r="N294" s="108"/>
      <c r="O294" s="92">
        <v>5</v>
      </c>
      <c r="P294" s="98" t="s">
        <v>1121</v>
      </c>
      <c r="Q294" s="97" t="s">
        <v>540</v>
      </c>
      <c r="R294" s="92" t="s">
        <v>1076</v>
      </c>
      <c r="S294" s="92" t="s">
        <v>29</v>
      </c>
      <c r="T294" s="92" t="s">
        <v>29</v>
      </c>
      <c r="U294" s="107" t="s">
        <v>29</v>
      </c>
    </row>
    <row r="295" spans="1:21" ht="13.2" x14ac:dyDescent="0.25">
      <c r="A295" s="67" t="s">
        <v>931</v>
      </c>
      <c r="B295" s="108"/>
      <c r="C295" s="92">
        <v>6</v>
      </c>
      <c r="D295" s="93" t="s">
        <v>1122</v>
      </c>
      <c r="E295" s="97" t="s">
        <v>535</v>
      </c>
      <c r="F295" s="92" t="s">
        <v>1076</v>
      </c>
      <c r="G295" s="92" t="s">
        <v>29</v>
      </c>
      <c r="H295" s="92" t="s">
        <v>29</v>
      </c>
      <c r="I295" s="107" t="s">
        <v>29</v>
      </c>
      <c r="J295" s="89"/>
      <c r="K295" s="89"/>
      <c r="L295" s="89"/>
      <c r="M295" s="96" t="s">
        <v>29</v>
      </c>
      <c r="N295" s="108"/>
      <c r="O295" s="92" t="s">
        <v>29</v>
      </c>
      <c r="P295" s="98" t="s">
        <v>29</v>
      </c>
      <c r="Q295" s="97" t="s">
        <v>29</v>
      </c>
      <c r="R295" s="92" t="s">
        <v>29</v>
      </c>
      <c r="S295" s="92" t="s">
        <v>29</v>
      </c>
      <c r="T295" s="92" t="s">
        <v>29</v>
      </c>
      <c r="U295" s="107" t="s">
        <v>29</v>
      </c>
    </row>
    <row r="296" spans="1:21" ht="13.2" x14ac:dyDescent="0.25">
      <c r="A296" s="67" t="s">
        <v>29</v>
      </c>
      <c r="B296" s="108"/>
      <c r="C296" s="92" t="s">
        <v>29</v>
      </c>
      <c r="D296" s="98" t="s">
        <v>29</v>
      </c>
      <c r="E296" s="97" t="s">
        <v>29</v>
      </c>
      <c r="F296" s="92" t="s">
        <v>29</v>
      </c>
      <c r="G296" s="92" t="s">
        <v>29</v>
      </c>
      <c r="H296" s="92" t="s">
        <v>29</v>
      </c>
      <c r="I296" s="107" t="s">
        <v>29</v>
      </c>
      <c r="J296" s="89"/>
      <c r="K296" s="89"/>
      <c r="L296" s="89"/>
      <c r="M296" s="96" t="s">
        <v>29</v>
      </c>
      <c r="N296" s="108"/>
      <c r="O296" s="92" t="s">
        <v>29</v>
      </c>
      <c r="P296" s="98" t="s">
        <v>29</v>
      </c>
      <c r="Q296" s="97" t="s">
        <v>29</v>
      </c>
      <c r="R296" s="92" t="s">
        <v>29</v>
      </c>
      <c r="S296" s="92" t="s">
        <v>29</v>
      </c>
      <c r="T296" s="92" t="s">
        <v>29</v>
      </c>
      <c r="U296" s="107" t="s">
        <v>29</v>
      </c>
    </row>
    <row r="297" spans="1:21" ht="13.2" x14ac:dyDescent="0.25">
      <c r="A297" s="67" t="s">
        <v>29</v>
      </c>
      <c r="B297" s="108"/>
      <c r="C297" s="92" t="s">
        <v>29</v>
      </c>
      <c r="D297" s="98" t="s">
        <v>29</v>
      </c>
      <c r="E297" s="97" t="s">
        <v>29</v>
      </c>
      <c r="F297" s="92" t="s">
        <v>29</v>
      </c>
      <c r="G297" s="92" t="s">
        <v>29</v>
      </c>
      <c r="H297" s="92" t="s">
        <v>29</v>
      </c>
      <c r="I297" s="107" t="s">
        <v>29</v>
      </c>
      <c r="J297" s="89"/>
      <c r="K297" s="89"/>
      <c r="L297" s="89"/>
      <c r="M297" s="96" t="s">
        <v>29</v>
      </c>
      <c r="N297" s="108"/>
      <c r="O297" s="92" t="s">
        <v>29</v>
      </c>
      <c r="P297" s="98" t="s">
        <v>29</v>
      </c>
      <c r="Q297" s="97" t="s">
        <v>29</v>
      </c>
      <c r="R297" s="92" t="s">
        <v>29</v>
      </c>
      <c r="S297" s="92" t="s">
        <v>29</v>
      </c>
      <c r="T297" s="92" t="s">
        <v>29</v>
      </c>
      <c r="U297" s="107" t="s">
        <v>29</v>
      </c>
    </row>
    <row r="298" spans="1:21" ht="13.2" x14ac:dyDescent="0.25">
      <c r="A298" s="67" t="s">
        <v>29</v>
      </c>
      <c r="B298" s="108"/>
      <c r="C298" s="92" t="s">
        <v>29</v>
      </c>
      <c r="D298" s="98" t="s">
        <v>29</v>
      </c>
      <c r="E298" s="97" t="s">
        <v>29</v>
      </c>
      <c r="F298" s="92" t="s">
        <v>29</v>
      </c>
      <c r="G298" s="92" t="s">
        <v>29</v>
      </c>
      <c r="H298" s="92" t="s">
        <v>29</v>
      </c>
      <c r="I298" s="107" t="s">
        <v>29</v>
      </c>
      <c r="J298" s="89"/>
      <c r="K298" s="89"/>
      <c r="L298" s="89"/>
      <c r="M298" s="96" t="s">
        <v>29</v>
      </c>
      <c r="N298" s="108"/>
      <c r="O298" s="92" t="s">
        <v>29</v>
      </c>
      <c r="P298" s="98" t="s">
        <v>29</v>
      </c>
      <c r="Q298" s="97" t="s">
        <v>29</v>
      </c>
      <c r="R298" s="92" t="s">
        <v>29</v>
      </c>
      <c r="S298" s="92" t="s">
        <v>29</v>
      </c>
      <c r="T298" s="92" t="s">
        <v>29</v>
      </c>
      <c r="U298" s="107" t="s">
        <v>29</v>
      </c>
    </row>
    <row r="299" spans="1:21" ht="13.2" x14ac:dyDescent="0.25">
      <c r="A299" s="67"/>
      <c r="B299" s="108"/>
      <c r="C299" s="92" t="s">
        <v>29</v>
      </c>
      <c r="D299" s="98" t="s">
        <v>29</v>
      </c>
      <c r="E299" s="97" t="s">
        <v>29</v>
      </c>
      <c r="F299" s="92" t="s">
        <v>29</v>
      </c>
      <c r="G299" s="92" t="s">
        <v>29</v>
      </c>
      <c r="H299" s="92" t="s">
        <v>29</v>
      </c>
      <c r="I299" s="107" t="s">
        <v>29</v>
      </c>
      <c r="J299" s="89"/>
      <c r="K299" s="89"/>
      <c r="L299" s="89"/>
      <c r="M299" s="96"/>
      <c r="N299" s="108"/>
      <c r="O299" s="92" t="s">
        <v>29</v>
      </c>
      <c r="P299" s="98" t="s">
        <v>29</v>
      </c>
      <c r="Q299" s="97" t="s">
        <v>29</v>
      </c>
      <c r="R299" s="92" t="s">
        <v>29</v>
      </c>
      <c r="S299" s="92" t="s">
        <v>29</v>
      </c>
      <c r="T299" s="92" t="s">
        <v>29</v>
      </c>
      <c r="U299" s="107" t="s">
        <v>29</v>
      </c>
    </row>
    <row r="300" spans="1:21" ht="13.2" x14ac:dyDescent="0.25">
      <c r="A300" s="67"/>
      <c r="B300" s="108"/>
      <c r="C300" s="92" t="s">
        <v>29</v>
      </c>
      <c r="D300" s="98" t="s">
        <v>29</v>
      </c>
      <c r="E300" s="97" t="s">
        <v>29</v>
      </c>
      <c r="F300" s="92" t="s">
        <v>29</v>
      </c>
      <c r="G300" s="92" t="s">
        <v>29</v>
      </c>
      <c r="H300" s="92" t="s">
        <v>29</v>
      </c>
      <c r="I300" s="107" t="s">
        <v>29</v>
      </c>
      <c r="J300" s="89"/>
      <c r="K300" s="89"/>
      <c r="L300" s="89"/>
      <c r="M300" s="96"/>
      <c r="N300" s="108"/>
      <c r="O300" s="92" t="s">
        <v>29</v>
      </c>
      <c r="P300" s="98" t="s">
        <v>29</v>
      </c>
      <c r="Q300" s="97" t="s">
        <v>29</v>
      </c>
      <c r="R300" s="92" t="s">
        <v>29</v>
      </c>
      <c r="S300" s="92" t="s">
        <v>29</v>
      </c>
      <c r="T300" s="92" t="s">
        <v>29</v>
      </c>
      <c r="U300" s="107" t="s">
        <v>29</v>
      </c>
    </row>
    <row r="301" spans="1:21" ht="13.2" x14ac:dyDescent="0.25">
      <c r="A301" s="67"/>
      <c r="B301" s="108"/>
      <c r="C301" s="92" t="s">
        <v>29</v>
      </c>
      <c r="D301" s="98" t="s">
        <v>29</v>
      </c>
      <c r="E301" s="97" t="s">
        <v>29</v>
      </c>
      <c r="F301" s="92" t="s">
        <v>29</v>
      </c>
      <c r="G301" s="92" t="s">
        <v>29</v>
      </c>
      <c r="H301" s="92" t="s">
        <v>29</v>
      </c>
      <c r="I301" s="107" t="s">
        <v>29</v>
      </c>
      <c r="J301" s="89"/>
      <c r="K301" s="89"/>
      <c r="L301" s="89"/>
      <c r="M301" s="96"/>
      <c r="N301" s="108"/>
      <c r="O301" s="92" t="s">
        <v>29</v>
      </c>
      <c r="P301" s="98" t="s">
        <v>29</v>
      </c>
      <c r="Q301" s="97" t="s">
        <v>29</v>
      </c>
      <c r="R301" s="92" t="s">
        <v>29</v>
      </c>
      <c r="S301" s="92" t="s">
        <v>29</v>
      </c>
      <c r="T301" s="92" t="s">
        <v>29</v>
      </c>
      <c r="U301" s="107" t="s">
        <v>29</v>
      </c>
    </row>
    <row r="302" spans="1:21" ht="13.2" x14ac:dyDescent="0.25">
      <c r="A302" s="67"/>
      <c r="B302" s="108"/>
      <c r="C302" s="92" t="s">
        <v>29</v>
      </c>
      <c r="D302" s="98" t="s">
        <v>29</v>
      </c>
      <c r="E302" s="97" t="s">
        <v>29</v>
      </c>
      <c r="F302" s="92" t="s">
        <v>29</v>
      </c>
      <c r="G302" s="92" t="s">
        <v>29</v>
      </c>
      <c r="H302" s="92" t="s">
        <v>29</v>
      </c>
      <c r="I302" s="107" t="s">
        <v>29</v>
      </c>
      <c r="J302" s="89"/>
      <c r="K302" s="89"/>
      <c r="L302" s="89"/>
      <c r="M302" s="96"/>
      <c r="N302" s="108"/>
      <c r="O302" s="92" t="s">
        <v>29</v>
      </c>
      <c r="P302" s="98" t="s">
        <v>29</v>
      </c>
      <c r="Q302" s="97" t="s">
        <v>29</v>
      </c>
      <c r="R302" s="92" t="s">
        <v>29</v>
      </c>
      <c r="S302" s="92" t="s">
        <v>29</v>
      </c>
      <c r="T302" s="92" t="s">
        <v>29</v>
      </c>
      <c r="U302" s="107" t="s">
        <v>29</v>
      </c>
    </row>
    <row r="303" spans="1:21" ht="13.2" x14ac:dyDescent="0.25">
      <c r="A303" s="67"/>
      <c r="B303" s="108"/>
      <c r="C303" s="92" t="s">
        <v>29</v>
      </c>
      <c r="D303" s="98" t="s">
        <v>29</v>
      </c>
      <c r="E303" s="97" t="s">
        <v>29</v>
      </c>
      <c r="F303" s="92" t="s">
        <v>29</v>
      </c>
      <c r="G303" s="92" t="s">
        <v>29</v>
      </c>
      <c r="H303" s="92" t="s">
        <v>29</v>
      </c>
      <c r="I303" s="107" t="s">
        <v>29</v>
      </c>
      <c r="J303" s="89"/>
      <c r="K303" s="89"/>
      <c r="L303" s="89"/>
      <c r="M303" s="96"/>
      <c r="N303" s="108"/>
      <c r="O303" s="92" t="s">
        <v>29</v>
      </c>
      <c r="P303" s="98" t="s">
        <v>29</v>
      </c>
      <c r="Q303" s="97" t="s">
        <v>29</v>
      </c>
      <c r="R303" s="92" t="s">
        <v>29</v>
      </c>
      <c r="S303" s="92" t="s">
        <v>29</v>
      </c>
      <c r="T303" s="92" t="s">
        <v>29</v>
      </c>
      <c r="U303" s="107" t="s">
        <v>29</v>
      </c>
    </row>
    <row r="304" spans="1:21" ht="13.2" x14ac:dyDescent="0.25">
      <c r="A304" s="67" t="s">
        <v>29</v>
      </c>
      <c r="B304" s="108"/>
      <c r="C304" s="92" t="s">
        <v>29</v>
      </c>
      <c r="D304" s="98" t="s">
        <v>29</v>
      </c>
      <c r="E304" s="97" t="s">
        <v>29</v>
      </c>
      <c r="F304" s="92" t="s">
        <v>29</v>
      </c>
      <c r="G304" s="92" t="s">
        <v>29</v>
      </c>
      <c r="H304" s="92" t="s">
        <v>29</v>
      </c>
      <c r="I304" s="107" t="s">
        <v>29</v>
      </c>
      <c r="J304" s="89"/>
      <c r="K304" s="89"/>
      <c r="L304" s="89"/>
      <c r="M304" s="96" t="s">
        <v>29</v>
      </c>
      <c r="N304" s="108"/>
      <c r="O304" s="92" t="s">
        <v>29</v>
      </c>
      <c r="P304" s="98" t="s">
        <v>29</v>
      </c>
      <c r="Q304" s="97" t="s">
        <v>29</v>
      </c>
      <c r="R304" s="92" t="s">
        <v>29</v>
      </c>
      <c r="S304" s="92" t="s">
        <v>29</v>
      </c>
      <c r="T304" s="92" t="s">
        <v>29</v>
      </c>
      <c r="U304" s="107" t="s">
        <v>29</v>
      </c>
    </row>
    <row r="305" spans="1:21" ht="13.2" x14ac:dyDescent="0.25">
      <c r="A305" s="67" t="s">
        <v>29</v>
      </c>
      <c r="B305" s="108"/>
      <c r="C305" s="219" t="s">
        <v>995</v>
      </c>
      <c r="D305" s="220"/>
      <c r="E305" s="220"/>
      <c r="F305" s="220"/>
      <c r="G305" s="99">
        <v>0</v>
      </c>
      <c r="H305" s="99">
        <v>9</v>
      </c>
      <c r="I305" s="107" t="s">
        <v>29</v>
      </c>
      <c r="J305" s="89"/>
      <c r="K305" s="89"/>
      <c r="L305" s="89"/>
      <c r="M305" s="96" t="s">
        <v>29</v>
      </c>
      <c r="N305" s="108"/>
      <c r="O305" s="219" t="s">
        <v>996</v>
      </c>
      <c r="P305" s="220"/>
      <c r="Q305" s="220"/>
      <c r="R305" s="220"/>
      <c r="S305" s="99">
        <v>9</v>
      </c>
      <c r="T305" s="99">
        <v>0</v>
      </c>
      <c r="U305" s="107" t="s">
        <v>29</v>
      </c>
    </row>
    <row r="306" spans="1:21" ht="13.2" x14ac:dyDescent="0.25">
      <c r="A306" s="67"/>
      <c r="B306" s="66"/>
      <c r="C306" s="117"/>
      <c r="D306" s="66"/>
      <c r="E306" s="66"/>
      <c r="F306" s="66"/>
      <c r="G306" s="66"/>
      <c r="H306" s="66"/>
      <c r="I306" s="117" t="s">
        <v>29</v>
      </c>
      <c r="J306" s="66"/>
      <c r="K306" s="66"/>
      <c r="L306" s="66"/>
      <c r="M306" s="74"/>
      <c r="N306" s="66"/>
      <c r="O306" s="66"/>
      <c r="P306" s="66"/>
      <c r="Q306" s="66"/>
      <c r="R306" s="66"/>
      <c r="S306" s="66"/>
      <c r="T306" s="66"/>
      <c r="U306" s="117" t="s">
        <v>29</v>
      </c>
    </row>
    <row r="307" spans="1:21" ht="13.2" x14ac:dyDescent="0.25">
      <c r="A307" s="67"/>
      <c r="B307" s="66"/>
      <c r="C307" s="118" t="s">
        <v>997</v>
      </c>
      <c r="D307" s="89"/>
      <c r="E307" s="89"/>
      <c r="F307" s="89"/>
      <c r="G307" s="89"/>
      <c r="H307" s="89"/>
      <c r="I307" s="100" t="s">
        <v>29</v>
      </c>
      <c r="J307" s="89"/>
      <c r="K307" s="89"/>
      <c r="L307" s="89"/>
      <c r="M307" s="96"/>
      <c r="N307" s="119"/>
      <c r="O307" s="120" t="s">
        <v>998</v>
      </c>
      <c r="P307" s="119"/>
      <c r="Q307" s="221" t="s">
        <v>1123</v>
      </c>
      <c r="R307" s="220"/>
      <c r="S307" s="220"/>
      <c r="T307" s="222"/>
      <c r="U307" s="117" t="s">
        <v>29</v>
      </c>
    </row>
    <row r="308" spans="1:21" ht="13.2" x14ac:dyDescent="0.25">
      <c r="A308" s="67"/>
      <c r="B308" s="66"/>
      <c r="C308" s="245" t="s">
        <v>1124</v>
      </c>
      <c r="D308" s="227"/>
      <c r="E308" s="227"/>
      <c r="F308" s="227"/>
      <c r="G308" s="227"/>
      <c r="H308" s="228"/>
      <c r="I308" s="100" t="s">
        <v>29</v>
      </c>
      <c r="J308" s="89"/>
      <c r="K308" s="89"/>
      <c r="L308" s="89"/>
      <c r="M308" s="96"/>
      <c r="N308" s="119"/>
      <c r="O308" s="120" t="s">
        <v>1001</v>
      </c>
      <c r="P308" s="121"/>
      <c r="Q308" s="221" t="s">
        <v>1125</v>
      </c>
      <c r="R308" s="220"/>
      <c r="S308" s="220"/>
      <c r="T308" s="222"/>
      <c r="U308" s="117" t="s">
        <v>29</v>
      </c>
    </row>
    <row r="309" spans="1:21" ht="13.2" x14ac:dyDescent="0.25">
      <c r="A309" s="67"/>
      <c r="B309" s="66"/>
      <c r="C309" s="231"/>
      <c r="D309" s="232"/>
      <c r="E309" s="232"/>
      <c r="F309" s="232"/>
      <c r="G309" s="232"/>
      <c r="H309" s="233"/>
      <c r="I309" s="100" t="s">
        <v>29</v>
      </c>
      <c r="J309" s="89"/>
      <c r="K309" s="89"/>
      <c r="L309" s="89"/>
      <c r="M309" s="96"/>
      <c r="N309" s="119"/>
      <c r="O309" s="120"/>
      <c r="P309" s="121"/>
      <c r="Q309" s="223"/>
      <c r="R309" s="224"/>
      <c r="S309" s="224"/>
      <c r="T309" s="224"/>
      <c r="U309" s="117" t="s">
        <v>29</v>
      </c>
    </row>
    <row r="310" spans="1:21" ht="13.2" x14ac:dyDescent="0.25">
      <c r="A310" s="67"/>
      <c r="B310" s="66"/>
      <c r="C310" s="118" t="s">
        <v>1003</v>
      </c>
      <c r="D310" s="122"/>
      <c r="E310" s="225" t="s">
        <v>1125</v>
      </c>
      <c r="F310" s="220"/>
      <c r="G310" s="220"/>
      <c r="H310" s="222"/>
      <c r="I310" s="100" t="s">
        <v>29</v>
      </c>
      <c r="J310" s="89"/>
      <c r="K310" s="89"/>
      <c r="L310" s="89"/>
      <c r="M310" s="96"/>
      <c r="N310" s="119"/>
      <c r="O310" s="118" t="s">
        <v>1004</v>
      </c>
      <c r="P310" s="122"/>
      <c r="Q310" s="225" t="s">
        <v>1126</v>
      </c>
      <c r="R310" s="220"/>
      <c r="S310" s="220"/>
      <c r="T310" s="222"/>
      <c r="U310" s="117" t="s">
        <v>29</v>
      </c>
    </row>
    <row r="311" spans="1:21" ht="13.2" x14ac:dyDescent="0.25">
      <c r="A311" s="67"/>
      <c r="B311" s="66"/>
      <c r="C311" s="118" t="s">
        <v>1006</v>
      </c>
      <c r="D311" s="122"/>
      <c r="E311" s="122"/>
      <c r="F311" s="122"/>
      <c r="G311" s="122"/>
      <c r="H311" s="122"/>
      <c r="I311" s="100" t="s">
        <v>29</v>
      </c>
      <c r="J311" s="89"/>
      <c r="K311" s="89"/>
      <c r="L311" s="89"/>
      <c r="M311" s="96"/>
      <c r="N311" s="119"/>
      <c r="O311" s="120" t="s">
        <v>1007</v>
      </c>
      <c r="P311" s="121"/>
      <c r="Q311" s="121"/>
      <c r="R311" s="121"/>
      <c r="S311" s="121"/>
      <c r="T311" s="121"/>
      <c r="U311" s="117" t="s">
        <v>29</v>
      </c>
    </row>
    <row r="312" spans="1:21" ht="13.2" x14ac:dyDescent="0.25">
      <c r="B312" s="66"/>
      <c r="C312" s="242"/>
      <c r="D312" s="227"/>
      <c r="E312" s="227"/>
      <c r="F312" s="227"/>
      <c r="G312" s="227"/>
      <c r="H312" s="228"/>
      <c r="I312" s="117" t="s">
        <v>29</v>
      </c>
      <c r="J312" s="66"/>
      <c r="K312" s="66"/>
      <c r="L312" s="66"/>
      <c r="M312" s="74"/>
      <c r="N312" s="123"/>
      <c r="O312" s="240"/>
      <c r="P312" s="227"/>
      <c r="Q312" s="227"/>
      <c r="R312" s="227"/>
      <c r="S312" s="227"/>
      <c r="T312" s="228"/>
      <c r="U312" s="117" t="s">
        <v>29</v>
      </c>
    </row>
    <row r="313" spans="1:21" ht="13.2" x14ac:dyDescent="0.25">
      <c r="B313" s="66"/>
      <c r="C313" s="229"/>
      <c r="D313" s="224"/>
      <c r="E313" s="224"/>
      <c r="F313" s="224"/>
      <c r="G313" s="224"/>
      <c r="H313" s="230"/>
      <c r="I313" s="117" t="s">
        <v>29</v>
      </c>
      <c r="J313" s="66"/>
      <c r="K313" s="66"/>
      <c r="L313" s="66"/>
      <c r="M313" s="74"/>
      <c r="N313" s="123"/>
      <c r="O313" s="229"/>
      <c r="P313" s="224"/>
      <c r="Q313" s="224"/>
      <c r="R313" s="224"/>
      <c r="S313" s="224"/>
      <c r="T313" s="230"/>
      <c r="U313" s="117" t="s">
        <v>29</v>
      </c>
    </row>
    <row r="314" spans="1:21" ht="13.2" x14ac:dyDescent="0.25">
      <c r="B314" s="66"/>
      <c r="C314" s="229"/>
      <c r="D314" s="224"/>
      <c r="E314" s="224"/>
      <c r="F314" s="224"/>
      <c r="G314" s="224"/>
      <c r="H314" s="230"/>
      <c r="I314" s="117" t="s">
        <v>29</v>
      </c>
      <c r="J314" s="66"/>
      <c r="K314" s="66"/>
      <c r="L314" s="66"/>
      <c r="M314" s="74"/>
      <c r="N314" s="123"/>
      <c r="O314" s="229"/>
      <c r="P314" s="224"/>
      <c r="Q314" s="224"/>
      <c r="R314" s="224"/>
      <c r="S314" s="224"/>
      <c r="T314" s="230"/>
      <c r="U314" s="117" t="s">
        <v>29</v>
      </c>
    </row>
    <row r="315" spans="1:21" ht="13.2" x14ac:dyDescent="0.25">
      <c r="B315" s="66"/>
      <c r="C315" s="231"/>
      <c r="D315" s="232"/>
      <c r="E315" s="232"/>
      <c r="F315" s="232"/>
      <c r="G315" s="232"/>
      <c r="H315" s="233"/>
      <c r="I315" s="117" t="s">
        <v>29</v>
      </c>
      <c r="J315" s="66"/>
      <c r="K315" s="66"/>
      <c r="L315" s="66"/>
      <c r="M315" s="74"/>
      <c r="N315" s="123"/>
      <c r="O315" s="231"/>
      <c r="P315" s="232"/>
      <c r="Q315" s="232"/>
      <c r="R315" s="232"/>
      <c r="S315" s="232"/>
      <c r="T315" s="233"/>
      <c r="U315" s="117" t="s">
        <v>29</v>
      </c>
    </row>
    <row r="316" spans="1:21" ht="13.2" x14ac:dyDescent="0.25">
      <c r="B316" s="66"/>
      <c r="C316" s="117"/>
      <c r="D316" s="66"/>
      <c r="E316" s="66"/>
      <c r="F316" s="66"/>
      <c r="G316" s="66"/>
      <c r="H316" s="66"/>
      <c r="I316" s="117" t="s">
        <v>29</v>
      </c>
      <c r="J316" s="66"/>
      <c r="K316" s="66"/>
      <c r="L316" s="66"/>
      <c r="M316" s="66"/>
      <c r="N316" s="66"/>
      <c r="O316" s="66"/>
      <c r="P316" s="66"/>
      <c r="Q316" s="66"/>
      <c r="R316" s="66"/>
      <c r="S316" s="66"/>
      <c r="T316" s="66"/>
      <c r="U316" s="117" t="s">
        <v>29</v>
      </c>
    </row>
    <row r="317" spans="1:21" ht="13.2" x14ac:dyDescent="0.25">
      <c r="B317" s="66"/>
      <c r="C317" s="117"/>
      <c r="D317" s="66"/>
      <c r="E317" s="66"/>
      <c r="F317" s="66"/>
      <c r="G317" s="66"/>
      <c r="H317" s="66"/>
      <c r="I317" s="117" t="s">
        <v>29</v>
      </c>
      <c r="J317" s="66"/>
      <c r="K317" s="66"/>
      <c r="L317" s="66"/>
      <c r="M317" s="66"/>
      <c r="N317" s="66"/>
      <c r="O317" s="66"/>
      <c r="P317" s="66"/>
      <c r="Q317" s="66"/>
      <c r="R317" s="66"/>
      <c r="S317" s="66"/>
      <c r="T317" s="66"/>
      <c r="U317" s="117" t="s">
        <v>29</v>
      </c>
    </row>
    <row r="318" spans="1:21" ht="13.2" x14ac:dyDescent="0.25">
      <c r="B318" s="66"/>
      <c r="C318" s="117"/>
      <c r="D318" s="66"/>
      <c r="E318" s="66"/>
      <c r="F318" s="66"/>
      <c r="G318" s="66"/>
      <c r="H318" s="66"/>
      <c r="I318" s="117" t="s">
        <v>29</v>
      </c>
      <c r="J318" s="66"/>
      <c r="K318" s="66"/>
      <c r="L318" s="66"/>
      <c r="M318" s="66"/>
      <c r="N318" s="66"/>
      <c r="O318" s="66"/>
      <c r="P318" s="66"/>
      <c r="Q318" s="66"/>
      <c r="R318" s="66"/>
      <c r="S318" s="66"/>
      <c r="T318" s="66"/>
      <c r="U318" s="117" t="s">
        <v>29</v>
      </c>
    </row>
    <row r="319" spans="1:21" ht="13.2" x14ac:dyDescent="0.25">
      <c r="B319" s="66"/>
      <c r="C319" s="117"/>
      <c r="D319" s="66"/>
      <c r="E319" s="66"/>
      <c r="F319" s="66"/>
      <c r="G319" s="66"/>
      <c r="H319" s="66"/>
      <c r="I319" s="117" t="s">
        <v>29</v>
      </c>
      <c r="J319" s="66"/>
      <c r="K319" s="66"/>
      <c r="L319" s="66"/>
      <c r="M319" s="66"/>
      <c r="N319" s="66"/>
      <c r="O319" s="66"/>
      <c r="P319" s="66"/>
      <c r="Q319" s="66"/>
      <c r="R319" s="66"/>
      <c r="S319" s="66"/>
      <c r="T319" s="66"/>
      <c r="U319" s="117" t="s">
        <v>29</v>
      </c>
    </row>
    <row r="320" spans="1:21" ht="13.2" x14ac:dyDescent="0.25">
      <c r="B320" s="66"/>
      <c r="C320" s="117"/>
      <c r="D320" s="66"/>
      <c r="E320" s="66"/>
      <c r="F320" s="66"/>
      <c r="G320" s="66"/>
      <c r="H320" s="66"/>
      <c r="I320" s="117" t="s">
        <v>29</v>
      </c>
      <c r="J320" s="66"/>
      <c r="K320" s="66"/>
      <c r="L320" s="66"/>
      <c r="M320" s="66"/>
      <c r="N320" s="66"/>
      <c r="O320" s="66"/>
      <c r="P320" s="66"/>
      <c r="Q320" s="66"/>
      <c r="R320" s="66"/>
      <c r="S320" s="66"/>
      <c r="T320" s="66"/>
      <c r="U320" s="117" t="s">
        <v>29</v>
      </c>
    </row>
    <row r="321" spans="2:21" ht="13.2" x14ac:dyDescent="0.25">
      <c r="B321" s="66"/>
      <c r="C321" s="117"/>
      <c r="D321" s="66"/>
      <c r="E321" s="66"/>
      <c r="F321" s="66"/>
      <c r="G321" s="66"/>
      <c r="H321" s="66"/>
      <c r="I321" s="117" t="s">
        <v>29</v>
      </c>
      <c r="J321" s="66"/>
      <c r="K321" s="66"/>
      <c r="L321" s="66"/>
      <c r="M321" s="66"/>
      <c r="N321" s="66"/>
      <c r="O321" s="66"/>
      <c r="P321" s="66"/>
      <c r="Q321" s="66"/>
      <c r="R321" s="66"/>
      <c r="S321" s="66"/>
      <c r="T321" s="66"/>
      <c r="U321" s="117" t="s">
        <v>29</v>
      </c>
    </row>
    <row r="322" spans="2:21" ht="13.2" x14ac:dyDescent="0.25">
      <c r="B322" s="66"/>
      <c r="C322" s="117"/>
      <c r="D322" s="66"/>
      <c r="E322" s="66"/>
      <c r="F322" s="66"/>
      <c r="G322" s="66"/>
      <c r="H322" s="66"/>
      <c r="I322" s="117"/>
      <c r="J322" s="66"/>
      <c r="K322" s="66"/>
      <c r="L322" s="66"/>
      <c r="M322" s="66"/>
      <c r="N322" s="66"/>
      <c r="O322" s="66"/>
      <c r="P322" s="66"/>
      <c r="Q322" s="66"/>
      <c r="R322" s="66"/>
      <c r="S322" s="66"/>
      <c r="T322" s="66"/>
      <c r="U322" s="117"/>
    </row>
    <row r="323" spans="2:21" ht="13.2" x14ac:dyDescent="0.25">
      <c r="B323" s="66"/>
      <c r="C323" s="117"/>
      <c r="D323" s="66"/>
      <c r="E323" s="66"/>
      <c r="F323" s="66"/>
      <c r="G323" s="66"/>
      <c r="H323" s="66"/>
      <c r="I323" s="117"/>
      <c r="J323" s="66"/>
      <c r="K323" s="66"/>
      <c r="L323" s="66"/>
      <c r="M323" s="66"/>
      <c r="N323" s="66"/>
      <c r="O323" s="66"/>
      <c r="P323" s="66"/>
      <c r="Q323" s="66"/>
      <c r="R323" s="66"/>
      <c r="S323" s="66"/>
      <c r="T323" s="66"/>
      <c r="U323" s="117"/>
    </row>
    <row r="324" spans="2:21" ht="13.2" x14ac:dyDescent="0.25">
      <c r="B324" s="66"/>
      <c r="C324" s="117"/>
      <c r="D324" s="66"/>
      <c r="E324" s="66"/>
      <c r="F324" s="66"/>
      <c r="G324" s="66"/>
      <c r="H324" s="66"/>
      <c r="I324" s="117"/>
      <c r="J324" s="66"/>
      <c r="K324" s="66"/>
      <c r="L324" s="66"/>
      <c r="M324" s="66"/>
      <c r="N324" s="66"/>
      <c r="O324" s="66"/>
      <c r="P324" s="66"/>
      <c r="Q324" s="66"/>
      <c r="R324" s="66"/>
      <c r="S324" s="66"/>
      <c r="T324" s="66"/>
      <c r="U324" s="117"/>
    </row>
    <row r="325" spans="2:21" ht="13.2" x14ac:dyDescent="0.25">
      <c r="B325" s="66"/>
      <c r="C325" s="117"/>
      <c r="D325" s="66"/>
      <c r="E325" s="66"/>
      <c r="F325" s="66"/>
      <c r="G325" s="66"/>
      <c r="H325" s="66"/>
      <c r="I325" s="117"/>
      <c r="J325" s="66"/>
      <c r="K325" s="66"/>
      <c r="L325" s="66"/>
      <c r="M325" s="66"/>
      <c r="N325" s="66"/>
      <c r="O325" s="66"/>
      <c r="P325" s="66"/>
      <c r="Q325" s="66"/>
      <c r="R325" s="66"/>
      <c r="S325" s="66"/>
      <c r="T325" s="66"/>
      <c r="U325" s="117"/>
    </row>
    <row r="326" spans="2:21" ht="13.2" x14ac:dyDescent="0.25">
      <c r="B326" s="66"/>
      <c r="C326" s="117"/>
      <c r="D326" s="66"/>
      <c r="E326" s="66"/>
      <c r="F326" s="66"/>
      <c r="G326" s="66"/>
      <c r="H326" s="66"/>
      <c r="I326" s="117"/>
      <c r="J326" s="66"/>
      <c r="K326" s="66"/>
      <c r="L326" s="66"/>
      <c r="M326" s="66"/>
      <c r="N326" s="66"/>
      <c r="O326" s="66"/>
      <c r="P326" s="66"/>
      <c r="Q326" s="66"/>
      <c r="R326" s="66"/>
      <c r="S326" s="66"/>
      <c r="T326" s="66"/>
      <c r="U326" s="117"/>
    </row>
    <row r="327" spans="2:21" ht="13.2" x14ac:dyDescent="0.25">
      <c r="B327" s="66"/>
      <c r="C327" s="117"/>
      <c r="D327" s="66"/>
      <c r="E327" s="66"/>
      <c r="F327" s="66"/>
      <c r="G327" s="66"/>
      <c r="H327" s="66"/>
      <c r="I327" s="117"/>
      <c r="J327" s="66"/>
      <c r="K327" s="66"/>
      <c r="L327" s="66"/>
      <c r="M327" s="66"/>
      <c r="N327" s="66"/>
      <c r="O327" s="66"/>
      <c r="P327" s="66"/>
      <c r="Q327" s="66"/>
      <c r="R327" s="66"/>
      <c r="S327" s="66"/>
      <c r="T327" s="66"/>
      <c r="U327" s="117"/>
    </row>
    <row r="328" spans="2:21" ht="13.2" x14ac:dyDescent="0.25">
      <c r="B328" s="66"/>
      <c r="C328" s="117"/>
      <c r="D328" s="66"/>
      <c r="E328" s="66"/>
      <c r="F328" s="66"/>
      <c r="G328" s="66"/>
      <c r="H328" s="66"/>
      <c r="I328" s="117"/>
      <c r="J328" s="66"/>
      <c r="K328" s="66"/>
      <c r="L328" s="66"/>
      <c r="M328" s="66"/>
      <c r="N328" s="66"/>
      <c r="O328" s="66"/>
      <c r="P328" s="66"/>
      <c r="Q328" s="66"/>
      <c r="R328" s="66"/>
      <c r="S328" s="66"/>
      <c r="T328" s="66"/>
      <c r="U328" s="117"/>
    </row>
    <row r="329" spans="2:21" ht="13.2" x14ac:dyDescent="0.25">
      <c r="B329" s="66"/>
      <c r="C329" s="117"/>
      <c r="D329" s="66"/>
      <c r="E329" s="66"/>
      <c r="F329" s="66"/>
      <c r="G329" s="66"/>
      <c r="H329" s="66"/>
      <c r="I329" s="117"/>
      <c r="J329" s="66"/>
      <c r="K329" s="66"/>
      <c r="L329" s="66"/>
      <c r="M329" s="66"/>
      <c r="N329" s="66"/>
      <c r="O329" s="66"/>
      <c r="P329" s="66"/>
      <c r="Q329" s="66"/>
      <c r="R329" s="66"/>
      <c r="S329" s="66"/>
      <c r="T329" s="66"/>
      <c r="U329" s="117"/>
    </row>
    <row r="330" spans="2:21" ht="13.2" x14ac:dyDescent="0.25">
      <c r="B330" s="66"/>
      <c r="C330" s="117"/>
      <c r="D330" s="66"/>
      <c r="E330" s="66"/>
      <c r="F330" s="66"/>
      <c r="G330" s="66"/>
      <c r="H330" s="66"/>
      <c r="I330" s="117"/>
      <c r="J330" s="66"/>
      <c r="K330" s="66"/>
      <c r="L330" s="66"/>
      <c r="M330" s="66"/>
      <c r="N330" s="66"/>
      <c r="O330" s="66"/>
      <c r="P330" s="66"/>
      <c r="Q330" s="66"/>
      <c r="R330" s="66"/>
      <c r="S330" s="66"/>
      <c r="T330" s="66"/>
      <c r="U330" s="117"/>
    </row>
  </sheetData>
  <mergeCells count="95">
    <mergeCell ref="C101:D101"/>
    <mergeCell ref="E101:H101"/>
    <mergeCell ref="C138:F138"/>
    <mergeCell ref="C157:F157"/>
    <mergeCell ref="O210:P210"/>
    <mergeCell ref="C210:D210"/>
    <mergeCell ref="E210:H210"/>
    <mergeCell ref="C176:F176"/>
    <mergeCell ref="C195:F195"/>
    <mergeCell ref="C198:H199"/>
    <mergeCell ref="E200:H200"/>
    <mergeCell ref="C202:H205"/>
    <mergeCell ref="O157:R157"/>
    <mergeCell ref="O176:R176"/>
    <mergeCell ref="O195:R195"/>
    <mergeCell ref="Q197:T197"/>
    <mergeCell ref="C85:F85"/>
    <mergeCell ref="C88:H89"/>
    <mergeCell ref="E90:H90"/>
    <mergeCell ref="C92:H95"/>
    <mergeCell ref="C100:D100"/>
    <mergeCell ref="E100:H100"/>
    <mergeCell ref="O34:R34"/>
    <mergeCell ref="C10:D10"/>
    <mergeCell ref="C34:F34"/>
    <mergeCell ref="C47:F47"/>
    <mergeCell ref="C66:F66"/>
    <mergeCell ref="O47:R47"/>
    <mergeCell ref="O66:R66"/>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10:H310"/>
    <mergeCell ref="C312:H315"/>
    <mergeCell ref="C211:D211"/>
    <mergeCell ref="E211:H211"/>
    <mergeCell ref="C248:F248"/>
    <mergeCell ref="C267:F267"/>
    <mergeCell ref="C286:F286"/>
    <mergeCell ref="C305:F305"/>
    <mergeCell ref="C308:H309"/>
    <mergeCell ref="Q308:T308"/>
    <mergeCell ref="Q309:T309"/>
    <mergeCell ref="Q310:T310"/>
    <mergeCell ref="O312:T315"/>
    <mergeCell ref="Q200:T200"/>
    <mergeCell ref="O202:T205"/>
    <mergeCell ref="Q207:T207"/>
    <mergeCell ref="Q208:T208"/>
    <mergeCell ref="O211:P211"/>
    <mergeCell ref="Q211:T211"/>
    <mergeCell ref="O248:R248"/>
    <mergeCell ref="Q210:T210"/>
    <mergeCell ref="Q199:T199"/>
    <mergeCell ref="O267:R267"/>
    <mergeCell ref="O286:R286"/>
    <mergeCell ref="O305:R305"/>
    <mergeCell ref="Q307:T307"/>
    <mergeCell ref="O92:T95"/>
    <mergeCell ref="Q97:T97"/>
    <mergeCell ref="Q98:T98"/>
    <mergeCell ref="Q198:T198"/>
    <mergeCell ref="O100:P100"/>
    <mergeCell ref="Q100:T100"/>
    <mergeCell ref="O101:P101"/>
    <mergeCell ref="Q101:T101"/>
    <mergeCell ref="O138:R138"/>
    <mergeCell ref="O85:R85"/>
    <mergeCell ref="Q87:T87"/>
    <mergeCell ref="Q88:T88"/>
    <mergeCell ref="Q89:T89"/>
    <mergeCell ref="Q90:T90"/>
  </mergeCells>
  <conditionalFormatting sqref="I3:I5 U3:U5">
    <cfRule type="cellIs" dxfId="13" priority="1" operator="equal">
      <formula>0</formula>
    </cfRule>
  </conditionalFormatting>
  <hyperlinks>
    <hyperlink ref="B3" location="null!a6" display="1" xr:uid="{00000000-0004-0000-0200-000000000000}"/>
    <hyperlink ref="D3" location="null!a6" display="F-Fairfax" xr:uid="{00000000-0004-0000-0200-000001000000}"/>
    <hyperlink ref="P3" location="null!a6" display="DR-Donaldson Run" xr:uid="{00000000-0004-0000-0200-000002000000}"/>
    <hyperlink ref="B4" location="null!a116" display="2" xr:uid="{00000000-0004-0000-0200-000003000000}"/>
    <hyperlink ref="D4" location="null!a116" display="OKM-Old Keene Mill" xr:uid="{00000000-0004-0000-0200-000004000000}"/>
    <hyperlink ref="P4" location="null!a116" display="OAK-Oakton" xr:uid="{00000000-0004-0000-0200-000005000000}"/>
    <hyperlink ref="B5" location="null!a226" display="3" xr:uid="{00000000-0004-0000-0200-000006000000}"/>
    <hyperlink ref="D5" location="null!a226" display="VW-Vienna Woods" xr:uid="{00000000-0004-0000-0200-000007000000}"/>
    <hyperlink ref="P5" location="null!a226" display="O-Overlee" xr:uid="{00000000-0004-0000-0200-000008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20.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40.799999999999997" customHeight="1" x14ac:dyDescent="0.45">
      <c r="A1" s="42" t="s">
        <v>29</v>
      </c>
      <c r="B1" s="43"/>
      <c r="C1" s="6"/>
      <c r="D1" s="44">
        <v>45461</v>
      </c>
      <c r="E1" s="8"/>
      <c r="F1" s="45" t="s">
        <v>911</v>
      </c>
      <c r="G1" s="9"/>
      <c r="H1" s="8"/>
      <c r="I1" s="10"/>
      <c r="J1" s="10"/>
      <c r="K1" s="10"/>
      <c r="L1" s="10"/>
      <c r="M1" s="10"/>
      <c r="N1" s="10"/>
      <c r="O1" s="10"/>
      <c r="P1" s="10"/>
      <c r="Q1" s="46" t="s">
        <v>1</v>
      </c>
      <c r="R1" s="246">
        <v>2</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50" t="s">
        <v>868</v>
      </c>
      <c r="E3" s="222"/>
      <c r="F3" s="251">
        <v>33</v>
      </c>
      <c r="G3" s="220"/>
      <c r="H3" s="222"/>
      <c r="I3" s="48">
        <v>0</v>
      </c>
      <c r="J3" s="8"/>
      <c r="K3" s="49">
        <v>27</v>
      </c>
      <c r="L3" s="50" t="s">
        <v>11</v>
      </c>
      <c r="M3" s="8"/>
      <c r="N3" s="51">
        <v>25</v>
      </c>
      <c r="O3" s="8"/>
      <c r="P3" s="252" t="s">
        <v>869</v>
      </c>
      <c r="Q3" s="220"/>
      <c r="R3" s="253">
        <v>39</v>
      </c>
      <c r="S3" s="220"/>
      <c r="T3" s="222"/>
      <c r="U3" s="48">
        <v>0</v>
      </c>
    </row>
    <row r="4" spans="1:21" ht="15.6" x14ac:dyDescent="0.3">
      <c r="A4" s="47">
        <v>2</v>
      </c>
      <c r="B4" s="27">
        <v>2</v>
      </c>
      <c r="C4" s="52"/>
      <c r="D4" s="250" t="s">
        <v>870</v>
      </c>
      <c r="E4" s="222"/>
      <c r="F4" s="251">
        <v>48</v>
      </c>
      <c r="G4" s="220"/>
      <c r="H4" s="220"/>
      <c r="I4" s="48">
        <v>0</v>
      </c>
      <c r="J4" s="31"/>
      <c r="K4" s="49">
        <v>31</v>
      </c>
      <c r="L4" s="50" t="s">
        <v>11</v>
      </c>
      <c r="M4" s="31"/>
      <c r="N4" s="51">
        <v>22</v>
      </c>
      <c r="O4" s="53"/>
      <c r="P4" s="252" t="s">
        <v>871</v>
      </c>
      <c r="Q4" s="220"/>
      <c r="R4" s="253">
        <v>24</v>
      </c>
      <c r="S4" s="220"/>
      <c r="T4" s="220"/>
      <c r="U4" s="48">
        <v>0</v>
      </c>
    </row>
    <row r="5" spans="1:21" ht="15.6" x14ac:dyDescent="0.3">
      <c r="A5" s="47">
        <v>3</v>
      </c>
      <c r="B5" s="27">
        <v>3</v>
      </c>
      <c r="C5" s="52"/>
      <c r="D5" s="256" t="s">
        <v>872</v>
      </c>
      <c r="E5" s="228"/>
      <c r="F5" s="251">
        <v>43</v>
      </c>
      <c r="G5" s="220"/>
      <c r="H5" s="222"/>
      <c r="I5" s="48">
        <v>0</v>
      </c>
      <c r="J5" s="31"/>
      <c r="K5" s="49">
        <v>30</v>
      </c>
      <c r="L5" s="50" t="s">
        <v>11</v>
      </c>
      <c r="M5" s="31"/>
      <c r="N5" s="51">
        <v>19</v>
      </c>
      <c r="O5" s="53"/>
      <c r="P5" s="254" t="s">
        <v>873</v>
      </c>
      <c r="Q5" s="227"/>
      <c r="R5" s="255">
        <v>28</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257" t="s">
        <v>859</v>
      </c>
      <c r="D9" s="220"/>
      <c r="E9" s="267" t="s">
        <v>868</v>
      </c>
      <c r="F9" s="220"/>
      <c r="G9" s="222"/>
      <c r="H9" s="140" t="s">
        <v>1127</v>
      </c>
      <c r="I9" s="141"/>
      <c r="J9" s="63"/>
      <c r="K9" s="63"/>
      <c r="L9" s="63"/>
      <c r="M9" s="63"/>
      <c r="N9" s="142"/>
      <c r="O9" s="236" t="s">
        <v>860</v>
      </c>
      <c r="P9" s="220"/>
      <c r="Q9" s="269" t="s">
        <v>869</v>
      </c>
      <c r="R9" s="220"/>
      <c r="S9" s="222"/>
      <c r="T9" s="143" t="s">
        <v>1128</v>
      </c>
      <c r="U9" s="144"/>
    </row>
    <row r="10" spans="1:21" ht="17.399999999999999" x14ac:dyDescent="0.3">
      <c r="B10" s="145"/>
      <c r="C10" s="243" t="s">
        <v>2</v>
      </c>
      <c r="D10" s="222"/>
      <c r="E10" s="268">
        <v>33</v>
      </c>
      <c r="F10" s="220"/>
      <c r="G10" s="220"/>
      <c r="H10" s="146"/>
      <c r="I10" s="141"/>
      <c r="J10" s="62"/>
      <c r="K10" s="62"/>
      <c r="L10" s="62"/>
      <c r="M10" s="62"/>
      <c r="N10" s="142"/>
      <c r="O10" s="238" t="s">
        <v>2</v>
      </c>
      <c r="P10" s="222"/>
      <c r="Q10" s="270">
        <v>39</v>
      </c>
      <c r="R10" s="220"/>
      <c r="S10" s="220"/>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8</v>
      </c>
      <c r="H13" s="79">
        <v>1</v>
      </c>
      <c r="I13" s="66"/>
      <c r="J13" s="66"/>
      <c r="K13" s="66"/>
      <c r="L13" s="66"/>
      <c r="M13" s="74"/>
      <c r="N13" s="66"/>
      <c r="O13" s="68" t="s">
        <v>921</v>
      </c>
      <c r="P13" s="75" t="s">
        <v>922</v>
      </c>
      <c r="Q13" s="76"/>
      <c r="R13" s="77"/>
      <c r="S13" s="78">
        <v>1</v>
      </c>
      <c r="T13" s="79">
        <v>8</v>
      </c>
      <c r="U13" s="66"/>
    </row>
    <row r="14" spans="1:21" ht="15.75" customHeight="1" x14ac:dyDescent="0.25">
      <c r="A14" s="67"/>
      <c r="B14" s="66"/>
      <c r="C14" s="68" t="s">
        <v>923</v>
      </c>
      <c r="D14" s="75" t="s">
        <v>924</v>
      </c>
      <c r="E14" s="76"/>
      <c r="F14" s="77"/>
      <c r="G14" s="78">
        <v>5</v>
      </c>
      <c r="H14" s="79">
        <v>4</v>
      </c>
      <c r="I14" s="66"/>
      <c r="J14" s="66"/>
      <c r="K14" s="66"/>
      <c r="L14" s="66"/>
      <c r="M14" s="74"/>
      <c r="N14" s="66"/>
      <c r="O14" s="68" t="s">
        <v>925</v>
      </c>
      <c r="P14" s="75" t="s">
        <v>926</v>
      </c>
      <c r="Q14" s="76"/>
      <c r="R14" s="77"/>
      <c r="S14" s="78">
        <v>3</v>
      </c>
      <c r="T14" s="79">
        <v>6</v>
      </c>
      <c r="U14" s="66"/>
    </row>
    <row r="15" spans="1:21" ht="15.75" customHeight="1" x14ac:dyDescent="0.25">
      <c r="A15" s="67"/>
      <c r="B15" s="66"/>
      <c r="C15" s="68" t="s">
        <v>927</v>
      </c>
      <c r="D15" s="75" t="s">
        <v>928</v>
      </c>
      <c r="E15" s="76"/>
      <c r="F15" s="77"/>
      <c r="G15" s="78">
        <v>1</v>
      </c>
      <c r="H15" s="79">
        <v>8</v>
      </c>
      <c r="I15" s="66"/>
      <c r="J15" s="66"/>
      <c r="K15" s="66"/>
      <c r="L15" s="66"/>
      <c r="M15" s="74"/>
      <c r="N15" s="66"/>
      <c r="O15" s="68" t="s">
        <v>929</v>
      </c>
      <c r="P15" s="75" t="s">
        <v>930</v>
      </c>
      <c r="Q15" s="76"/>
      <c r="R15" s="77"/>
      <c r="S15" s="78">
        <v>1</v>
      </c>
      <c r="T15" s="79">
        <v>8</v>
      </c>
      <c r="U15" s="66"/>
    </row>
    <row r="16" spans="1:21" ht="15.75" customHeight="1" x14ac:dyDescent="0.25">
      <c r="A16" s="67"/>
      <c r="B16" s="66"/>
      <c r="C16" s="68" t="s">
        <v>931</v>
      </c>
      <c r="D16" s="75" t="s">
        <v>932</v>
      </c>
      <c r="E16" s="76"/>
      <c r="F16" s="77"/>
      <c r="G16" s="78">
        <v>9</v>
      </c>
      <c r="H16" s="79">
        <v>0</v>
      </c>
      <c r="I16" s="66"/>
      <c r="J16" s="66"/>
      <c r="K16" s="66"/>
      <c r="L16" s="66"/>
      <c r="M16" s="74"/>
      <c r="N16" s="66"/>
      <c r="O16" s="68" t="s">
        <v>933</v>
      </c>
      <c r="P16" s="75" t="s">
        <v>934</v>
      </c>
      <c r="Q16" s="76"/>
      <c r="R16" s="77"/>
      <c r="S16" s="78">
        <v>5</v>
      </c>
      <c r="T16" s="79">
        <v>4</v>
      </c>
      <c r="U16" s="66"/>
    </row>
    <row r="17" spans="1:21" ht="15.75" customHeight="1" x14ac:dyDescent="0.25">
      <c r="A17" s="67"/>
      <c r="B17" s="66"/>
      <c r="C17" s="80"/>
      <c r="D17" s="81" t="s">
        <v>935</v>
      </c>
      <c r="E17" s="82"/>
      <c r="F17" s="83"/>
      <c r="G17" s="72">
        <v>23</v>
      </c>
      <c r="H17" s="73">
        <v>13</v>
      </c>
      <c r="I17" s="66"/>
      <c r="J17" s="66"/>
      <c r="K17" s="66"/>
      <c r="L17" s="66"/>
      <c r="M17" s="74"/>
      <c r="N17" s="66"/>
      <c r="O17" s="80"/>
      <c r="P17" s="81" t="s">
        <v>935</v>
      </c>
      <c r="Q17" s="82"/>
      <c r="R17" s="83"/>
      <c r="S17" s="72">
        <v>10</v>
      </c>
      <c r="T17" s="73">
        <v>26</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1129</v>
      </c>
      <c r="E22" s="94" t="s">
        <v>423</v>
      </c>
      <c r="F22" s="92" t="s">
        <v>1127</v>
      </c>
      <c r="G22" s="92">
        <v>5</v>
      </c>
      <c r="H22" s="92" t="s">
        <v>29</v>
      </c>
      <c r="I22" s="115" t="s">
        <v>29</v>
      </c>
      <c r="J22" s="89"/>
      <c r="K22" s="89"/>
      <c r="L22" s="89"/>
      <c r="M22" s="96" t="s">
        <v>921</v>
      </c>
      <c r="N22" s="84"/>
      <c r="O22" s="92">
        <v>1</v>
      </c>
      <c r="P22" s="93" t="s">
        <v>1130</v>
      </c>
      <c r="Q22" s="94" t="s">
        <v>154</v>
      </c>
      <c r="R22" s="92" t="s">
        <v>1128</v>
      </c>
      <c r="S22" s="92" t="s">
        <v>29</v>
      </c>
      <c r="T22" s="92">
        <v>5</v>
      </c>
      <c r="U22" s="115" t="s">
        <v>29</v>
      </c>
    </row>
    <row r="23" spans="1:21" ht="15.75" customHeight="1" x14ac:dyDescent="0.25">
      <c r="A23" s="67" t="s">
        <v>919</v>
      </c>
      <c r="B23" s="84"/>
      <c r="C23" s="92">
        <v>2</v>
      </c>
      <c r="D23" s="93" t="s">
        <v>1131</v>
      </c>
      <c r="E23" s="97" t="s">
        <v>426</v>
      </c>
      <c r="F23" s="92" t="s">
        <v>1127</v>
      </c>
      <c r="G23" s="92">
        <v>3</v>
      </c>
      <c r="H23" s="92" t="s">
        <v>29</v>
      </c>
      <c r="I23" s="115" t="s">
        <v>29</v>
      </c>
      <c r="J23" s="89"/>
      <c r="K23" s="89"/>
      <c r="L23" s="89"/>
      <c r="M23" s="96" t="s">
        <v>921</v>
      </c>
      <c r="N23" s="84"/>
      <c r="O23" s="92">
        <v>2</v>
      </c>
      <c r="P23" s="93" t="s">
        <v>1132</v>
      </c>
      <c r="Q23" s="97" t="s">
        <v>119</v>
      </c>
      <c r="R23" s="92" t="s">
        <v>1128</v>
      </c>
      <c r="S23" s="92" t="s">
        <v>29</v>
      </c>
      <c r="T23" s="92">
        <v>3</v>
      </c>
      <c r="U23" s="115" t="s">
        <v>29</v>
      </c>
    </row>
    <row r="24" spans="1:21" ht="15.75" customHeight="1" x14ac:dyDescent="0.25">
      <c r="A24" s="67" t="s">
        <v>919</v>
      </c>
      <c r="B24" s="84"/>
      <c r="C24" s="92">
        <v>3</v>
      </c>
      <c r="D24" s="93" t="s">
        <v>1133</v>
      </c>
      <c r="E24" s="97" t="s">
        <v>366</v>
      </c>
      <c r="F24" s="92" t="s">
        <v>1128</v>
      </c>
      <c r="G24" s="92" t="s">
        <v>29</v>
      </c>
      <c r="H24" s="92">
        <v>1</v>
      </c>
      <c r="I24" s="115" t="s">
        <v>29</v>
      </c>
      <c r="J24" s="89"/>
      <c r="K24" s="89"/>
      <c r="L24" s="89"/>
      <c r="M24" s="96" t="s">
        <v>921</v>
      </c>
      <c r="N24" s="84"/>
      <c r="O24" s="92" t="s">
        <v>1134</v>
      </c>
      <c r="P24" s="93" t="s">
        <v>1135</v>
      </c>
      <c r="Q24" s="97" t="s">
        <v>428</v>
      </c>
      <c r="R24" s="92" t="s">
        <v>1127</v>
      </c>
      <c r="S24" s="92">
        <v>0.5</v>
      </c>
      <c r="T24" s="92" t="s">
        <v>29</v>
      </c>
      <c r="U24" s="115" t="s">
        <v>29</v>
      </c>
    </row>
    <row r="25" spans="1:21" ht="15.75" customHeight="1" x14ac:dyDescent="0.25">
      <c r="A25" s="67" t="s">
        <v>919</v>
      </c>
      <c r="B25" s="84"/>
      <c r="C25" s="92">
        <v>4</v>
      </c>
      <c r="D25" s="93" t="s">
        <v>1136</v>
      </c>
      <c r="E25" s="97" t="s">
        <v>427</v>
      </c>
      <c r="F25" s="92" t="s">
        <v>1127</v>
      </c>
      <c r="G25" s="92" t="s">
        <v>29</v>
      </c>
      <c r="H25" s="92" t="s">
        <v>29</v>
      </c>
      <c r="I25" s="115" t="s">
        <v>29</v>
      </c>
      <c r="J25" s="89"/>
      <c r="K25" s="89"/>
      <c r="L25" s="89"/>
      <c r="M25" s="96" t="s">
        <v>921</v>
      </c>
      <c r="N25" s="84"/>
      <c r="O25" s="92" t="s">
        <v>1134</v>
      </c>
      <c r="P25" s="93" t="s">
        <v>1137</v>
      </c>
      <c r="Q25" s="97" t="s">
        <v>428</v>
      </c>
      <c r="R25" s="92" t="s">
        <v>1127</v>
      </c>
      <c r="S25" s="92">
        <v>0.5</v>
      </c>
      <c r="T25" s="92" t="s">
        <v>29</v>
      </c>
      <c r="U25" s="115" t="s">
        <v>29</v>
      </c>
    </row>
    <row r="26" spans="1:21" ht="15.75" customHeight="1" x14ac:dyDescent="0.25">
      <c r="A26" s="67" t="s">
        <v>919</v>
      </c>
      <c r="B26" s="84"/>
      <c r="C26" s="92">
        <v>5</v>
      </c>
      <c r="D26" s="93" t="s">
        <v>1138</v>
      </c>
      <c r="E26" s="97" t="s">
        <v>424</v>
      </c>
      <c r="F26" s="92" t="s">
        <v>1127</v>
      </c>
      <c r="G26" s="92" t="s">
        <v>29</v>
      </c>
      <c r="H26" s="92" t="s">
        <v>29</v>
      </c>
      <c r="I26" s="115" t="s">
        <v>29</v>
      </c>
      <c r="J26" s="89"/>
      <c r="K26" s="89"/>
      <c r="L26" s="89"/>
      <c r="M26" s="96" t="s">
        <v>921</v>
      </c>
      <c r="N26" s="84"/>
      <c r="O26" s="92">
        <v>5</v>
      </c>
      <c r="P26" s="93" t="s">
        <v>1139</v>
      </c>
      <c r="Q26" s="97" t="s">
        <v>367</v>
      </c>
      <c r="R26" s="92" t="s">
        <v>1128</v>
      </c>
      <c r="S26" s="92" t="s">
        <v>29</v>
      </c>
      <c r="T26" s="92" t="s">
        <v>29</v>
      </c>
      <c r="U26" s="115" t="s">
        <v>29</v>
      </c>
    </row>
    <row r="27" spans="1:21" ht="15.75" customHeight="1" x14ac:dyDescent="0.25">
      <c r="A27" s="67" t="s">
        <v>919</v>
      </c>
      <c r="B27" s="84"/>
      <c r="C27" s="92">
        <v>6</v>
      </c>
      <c r="D27" s="93" t="s">
        <v>1140</v>
      </c>
      <c r="E27" s="97" t="s">
        <v>308</v>
      </c>
      <c r="F27" s="92" t="s">
        <v>1127</v>
      </c>
      <c r="G27" s="92" t="s">
        <v>29</v>
      </c>
      <c r="H27" s="92" t="s">
        <v>29</v>
      </c>
      <c r="I27" s="115" t="s">
        <v>29</v>
      </c>
      <c r="J27" s="89"/>
      <c r="K27" s="89"/>
      <c r="L27" s="89"/>
      <c r="M27" s="96" t="s">
        <v>921</v>
      </c>
      <c r="N27" s="84"/>
      <c r="O27" s="92">
        <v>6</v>
      </c>
      <c r="P27" s="93" t="s">
        <v>1141</v>
      </c>
      <c r="Q27" s="97" t="s">
        <v>368</v>
      </c>
      <c r="R27" s="92" t="s">
        <v>1128</v>
      </c>
      <c r="S27" s="92" t="s">
        <v>29</v>
      </c>
      <c r="T27" s="92" t="s">
        <v>29</v>
      </c>
      <c r="U27" s="115" t="s">
        <v>29</v>
      </c>
    </row>
    <row r="28" spans="1:21" ht="15.75" customHeight="1" x14ac:dyDescent="0.25">
      <c r="A28" s="67" t="s">
        <v>919</v>
      </c>
      <c r="B28" s="84"/>
      <c r="C28" s="92">
        <v>7</v>
      </c>
      <c r="D28" s="93" t="s">
        <v>1142</v>
      </c>
      <c r="E28" s="97" t="s">
        <v>365</v>
      </c>
      <c r="F28" s="92" t="s">
        <v>1128</v>
      </c>
      <c r="G28" s="92" t="s">
        <v>29</v>
      </c>
      <c r="H28" s="92" t="s">
        <v>29</v>
      </c>
      <c r="I28" s="115" t="s">
        <v>29</v>
      </c>
      <c r="J28" s="89"/>
      <c r="K28" s="89"/>
      <c r="L28" s="89"/>
      <c r="M28" s="96" t="s">
        <v>921</v>
      </c>
      <c r="N28" s="84"/>
      <c r="O28" s="92">
        <v>7</v>
      </c>
      <c r="P28" s="93" t="s">
        <v>1143</v>
      </c>
      <c r="Q28" s="97" t="s">
        <v>430</v>
      </c>
      <c r="R28" s="92" t="s">
        <v>1127</v>
      </c>
      <c r="S28" s="92" t="s">
        <v>29</v>
      </c>
      <c r="T28" s="92" t="s">
        <v>29</v>
      </c>
      <c r="U28" s="115" t="s">
        <v>29</v>
      </c>
    </row>
    <row r="29" spans="1:21" ht="15.75" customHeight="1" x14ac:dyDescent="0.25">
      <c r="A29" s="67" t="s">
        <v>919</v>
      </c>
      <c r="B29" s="84"/>
      <c r="C29" s="92">
        <v>8</v>
      </c>
      <c r="D29" s="98" t="s">
        <v>1144</v>
      </c>
      <c r="E29" s="97" t="s">
        <v>425</v>
      </c>
      <c r="F29" s="92" t="s">
        <v>1127</v>
      </c>
      <c r="G29" s="92" t="s">
        <v>29</v>
      </c>
      <c r="H29" s="92" t="s">
        <v>29</v>
      </c>
      <c r="I29" s="115" t="s">
        <v>29</v>
      </c>
      <c r="J29" s="89"/>
      <c r="K29" s="89"/>
      <c r="L29" s="89"/>
      <c r="M29" s="96" t="s">
        <v>921</v>
      </c>
      <c r="N29" s="84"/>
      <c r="O29" s="92">
        <v>8</v>
      </c>
      <c r="P29" s="93" t="s">
        <v>1145</v>
      </c>
      <c r="Q29" s="97" t="s">
        <v>429</v>
      </c>
      <c r="R29" s="92" t="s">
        <v>1127</v>
      </c>
      <c r="S29" s="92" t="s">
        <v>29</v>
      </c>
      <c r="T29" s="92" t="s">
        <v>29</v>
      </c>
      <c r="U29" s="115" t="s">
        <v>29</v>
      </c>
    </row>
    <row r="30" spans="1:21" ht="15.75" customHeight="1" x14ac:dyDescent="0.25">
      <c r="A30" s="67" t="s">
        <v>919</v>
      </c>
      <c r="B30" s="84"/>
      <c r="C30" s="92">
        <v>9</v>
      </c>
      <c r="D30" s="98" t="s">
        <v>1146</v>
      </c>
      <c r="E30" s="97" t="s">
        <v>422</v>
      </c>
      <c r="F30" s="92" t="s">
        <v>1127</v>
      </c>
      <c r="G30" s="92" t="s">
        <v>29</v>
      </c>
      <c r="H30" s="92" t="s">
        <v>29</v>
      </c>
      <c r="I30" s="115" t="s">
        <v>29</v>
      </c>
      <c r="J30" s="89"/>
      <c r="K30" s="89"/>
      <c r="L30" s="89"/>
      <c r="M30" s="96" t="s">
        <v>921</v>
      </c>
      <c r="N30" s="84"/>
      <c r="O30" s="92">
        <v>9</v>
      </c>
      <c r="P30" s="93" t="s">
        <v>1147</v>
      </c>
      <c r="Q30" s="97" t="s">
        <v>431</v>
      </c>
      <c r="R30" s="92" t="s">
        <v>1127</v>
      </c>
      <c r="S30" s="92" t="s">
        <v>29</v>
      </c>
      <c r="T30" s="92" t="s">
        <v>29</v>
      </c>
      <c r="U30" s="115" t="s">
        <v>29</v>
      </c>
    </row>
    <row r="31" spans="1:21" ht="13.2" x14ac:dyDescent="0.25">
      <c r="A31" s="67" t="s">
        <v>919</v>
      </c>
      <c r="B31" s="84"/>
      <c r="C31" s="92">
        <v>10</v>
      </c>
      <c r="D31" s="98" t="s">
        <v>1148</v>
      </c>
      <c r="E31" s="97" t="s">
        <v>288</v>
      </c>
      <c r="F31" s="92" t="s">
        <v>1127</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29</v>
      </c>
      <c r="B32" s="84"/>
      <c r="C32" s="92" t="s">
        <v>29</v>
      </c>
      <c r="D32" s="98" t="s">
        <v>29</v>
      </c>
      <c r="E32" s="97" t="s">
        <v>29</v>
      </c>
      <c r="F32" s="92" t="s">
        <v>29</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29</v>
      </c>
      <c r="B33" s="84"/>
      <c r="C33" s="92" t="s">
        <v>29</v>
      </c>
      <c r="D33" s="98" t="s">
        <v>29</v>
      </c>
      <c r="E33" s="97" t="s">
        <v>29</v>
      </c>
      <c r="F33" s="92" t="s">
        <v>29</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84"/>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84"/>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20"/>
      <c r="E47" s="220"/>
      <c r="F47" s="220"/>
      <c r="G47" s="99">
        <v>8</v>
      </c>
      <c r="H47" s="99">
        <v>1</v>
      </c>
      <c r="I47" s="115" t="s">
        <v>29</v>
      </c>
      <c r="J47" s="89"/>
      <c r="K47" s="89"/>
      <c r="L47" s="89"/>
      <c r="M47" s="96" t="s">
        <v>29</v>
      </c>
      <c r="N47" s="84"/>
      <c r="O47" s="219" t="s">
        <v>955</v>
      </c>
      <c r="P47" s="220"/>
      <c r="Q47" s="220"/>
      <c r="R47" s="220"/>
      <c r="S47" s="99">
        <v>1</v>
      </c>
      <c r="T47" s="99">
        <v>8</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08"/>
      <c r="C51" s="92">
        <v>1</v>
      </c>
      <c r="D51" s="93" t="s">
        <v>1149</v>
      </c>
      <c r="E51" s="94" t="s">
        <v>435</v>
      </c>
      <c r="F51" s="92" t="s">
        <v>1127</v>
      </c>
      <c r="G51" s="92">
        <v>5</v>
      </c>
      <c r="H51" s="92" t="s">
        <v>29</v>
      </c>
      <c r="I51" s="116" t="s">
        <v>29</v>
      </c>
      <c r="J51" s="89"/>
      <c r="K51" s="89"/>
      <c r="L51" s="89"/>
      <c r="M51" s="96" t="s">
        <v>925</v>
      </c>
      <c r="N51" s="108"/>
      <c r="O51" s="92">
        <v>1</v>
      </c>
      <c r="P51" s="93" t="s">
        <v>1150</v>
      </c>
      <c r="Q51" s="94" t="s">
        <v>380</v>
      </c>
      <c r="R51" s="92" t="s">
        <v>1128</v>
      </c>
      <c r="S51" s="92" t="s">
        <v>29</v>
      </c>
      <c r="T51" s="92">
        <v>5</v>
      </c>
      <c r="U51" s="116" t="s">
        <v>29</v>
      </c>
    </row>
    <row r="52" spans="1:21" ht="13.2" x14ac:dyDescent="0.25">
      <c r="A52" s="67" t="s">
        <v>923</v>
      </c>
      <c r="B52" s="108"/>
      <c r="C52" s="92">
        <v>2</v>
      </c>
      <c r="D52" s="93" t="s">
        <v>1151</v>
      </c>
      <c r="E52" s="97" t="s">
        <v>358</v>
      </c>
      <c r="F52" s="92" t="s">
        <v>1128</v>
      </c>
      <c r="G52" s="92" t="s">
        <v>29</v>
      </c>
      <c r="H52" s="92">
        <v>3</v>
      </c>
      <c r="I52" s="116" t="s">
        <v>29</v>
      </c>
      <c r="J52" s="89"/>
      <c r="K52" s="89"/>
      <c r="L52" s="89"/>
      <c r="M52" s="96" t="s">
        <v>925</v>
      </c>
      <c r="N52" s="108"/>
      <c r="O52" s="92">
        <v>2</v>
      </c>
      <c r="P52" s="93" t="s">
        <v>1152</v>
      </c>
      <c r="Q52" s="97" t="s">
        <v>438</v>
      </c>
      <c r="R52" s="92" t="s">
        <v>1127</v>
      </c>
      <c r="S52" s="92">
        <v>3</v>
      </c>
      <c r="T52" s="92" t="s">
        <v>29</v>
      </c>
      <c r="U52" s="116" t="s">
        <v>29</v>
      </c>
    </row>
    <row r="53" spans="1:21" ht="13.2" x14ac:dyDescent="0.25">
      <c r="A53" s="67" t="s">
        <v>923</v>
      </c>
      <c r="B53" s="108"/>
      <c r="C53" s="92">
        <v>3</v>
      </c>
      <c r="D53" s="93" t="s">
        <v>1153</v>
      </c>
      <c r="E53" s="97" t="s">
        <v>377</v>
      </c>
      <c r="F53" s="92" t="s">
        <v>1128</v>
      </c>
      <c r="G53" s="92" t="s">
        <v>29</v>
      </c>
      <c r="H53" s="92">
        <v>1</v>
      </c>
      <c r="I53" s="116" t="s">
        <v>29</v>
      </c>
      <c r="J53" s="89"/>
      <c r="K53" s="89"/>
      <c r="L53" s="89"/>
      <c r="M53" s="96" t="s">
        <v>925</v>
      </c>
      <c r="N53" s="108"/>
      <c r="O53" s="92">
        <v>3</v>
      </c>
      <c r="P53" s="93" t="s">
        <v>1154</v>
      </c>
      <c r="Q53" s="97" t="s">
        <v>378</v>
      </c>
      <c r="R53" s="92" t="s">
        <v>1128</v>
      </c>
      <c r="S53" s="92" t="s">
        <v>29</v>
      </c>
      <c r="T53" s="92">
        <v>1</v>
      </c>
      <c r="U53" s="116" t="s">
        <v>29</v>
      </c>
    </row>
    <row r="54" spans="1:21" ht="13.2" x14ac:dyDescent="0.25">
      <c r="A54" s="67" t="s">
        <v>923</v>
      </c>
      <c r="B54" s="108"/>
      <c r="C54" s="92">
        <v>4</v>
      </c>
      <c r="D54" s="93" t="s">
        <v>1155</v>
      </c>
      <c r="E54" s="97" t="s">
        <v>437</v>
      </c>
      <c r="F54" s="92" t="s">
        <v>1127</v>
      </c>
      <c r="G54" s="92" t="s">
        <v>29</v>
      </c>
      <c r="H54" s="92" t="s">
        <v>29</v>
      </c>
      <c r="I54" s="116" t="s">
        <v>29</v>
      </c>
      <c r="J54" s="89"/>
      <c r="K54" s="89"/>
      <c r="L54" s="89"/>
      <c r="M54" s="96" t="s">
        <v>925</v>
      </c>
      <c r="N54" s="108"/>
      <c r="O54" s="92">
        <v>4</v>
      </c>
      <c r="P54" s="93" t="s">
        <v>1156</v>
      </c>
      <c r="Q54" s="97" t="s">
        <v>379</v>
      </c>
      <c r="R54" s="92" t="s">
        <v>1128</v>
      </c>
      <c r="S54" s="92" t="s">
        <v>29</v>
      </c>
      <c r="T54" s="92" t="s">
        <v>29</v>
      </c>
      <c r="U54" s="116" t="s">
        <v>29</v>
      </c>
    </row>
    <row r="55" spans="1:21" ht="13.2" x14ac:dyDescent="0.25">
      <c r="A55" s="67" t="s">
        <v>923</v>
      </c>
      <c r="B55" s="108"/>
      <c r="C55" s="92">
        <v>5</v>
      </c>
      <c r="D55" s="93" t="s">
        <v>1157</v>
      </c>
      <c r="E55" s="97" t="s">
        <v>375</v>
      </c>
      <c r="F55" s="92" t="s">
        <v>1128</v>
      </c>
      <c r="G55" s="92" t="s">
        <v>29</v>
      </c>
      <c r="H55" s="92" t="s">
        <v>29</v>
      </c>
      <c r="I55" s="116" t="s">
        <v>29</v>
      </c>
      <c r="J55" s="89"/>
      <c r="K55" s="89"/>
      <c r="L55" s="89"/>
      <c r="M55" s="96" t="s">
        <v>29</v>
      </c>
      <c r="N55" s="108"/>
      <c r="O55" s="92" t="s">
        <v>29</v>
      </c>
      <c r="P55" s="93" t="s">
        <v>29</v>
      </c>
      <c r="Q55" s="97" t="s">
        <v>29</v>
      </c>
      <c r="R55" s="92" t="s">
        <v>29</v>
      </c>
      <c r="S55" s="92" t="s">
        <v>29</v>
      </c>
      <c r="T55" s="92" t="s">
        <v>29</v>
      </c>
      <c r="U55" s="116" t="s">
        <v>29</v>
      </c>
    </row>
    <row r="56" spans="1:21" ht="13.2" x14ac:dyDescent="0.25">
      <c r="A56" s="67" t="s">
        <v>923</v>
      </c>
      <c r="B56" s="108"/>
      <c r="C56" s="92">
        <v>6</v>
      </c>
      <c r="D56" s="93" t="s">
        <v>1158</v>
      </c>
      <c r="E56" s="97" t="s">
        <v>436</v>
      </c>
      <c r="F56" s="92" t="s">
        <v>1127</v>
      </c>
      <c r="G56" s="92" t="s">
        <v>29</v>
      </c>
      <c r="H56" s="92" t="s">
        <v>29</v>
      </c>
      <c r="I56" s="116" t="s">
        <v>29</v>
      </c>
      <c r="J56" s="89"/>
      <c r="K56" s="89"/>
      <c r="L56" s="89"/>
      <c r="M56" s="96" t="s">
        <v>29</v>
      </c>
      <c r="N56" s="108"/>
      <c r="O56" s="92" t="s">
        <v>29</v>
      </c>
      <c r="P56" s="93" t="s">
        <v>29</v>
      </c>
      <c r="Q56" s="97" t="s">
        <v>29</v>
      </c>
      <c r="R56" s="92" t="s">
        <v>29</v>
      </c>
      <c r="S56" s="92" t="s">
        <v>29</v>
      </c>
      <c r="T56" s="92" t="s">
        <v>29</v>
      </c>
      <c r="U56" s="116" t="s">
        <v>29</v>
      </c>
    </row>
    <row r="57" spans="1:21" ht="13.2" x14ac:dyDescent="0.25">
      <c r="A57" s="67" t="s">
        <v>923</v>
      </c>
      <c r="B57" s="108"/>
      <c r="C57" s="92">
        <v>7</v>
      </c>
      <c r="D57" s="93" t="s">
        <v>1159</v>
      </c>
      <c r="E57" s="97" t="s">
        <v>376</v>
      </c>
      <c r="F57" s="92" t="s">
        <v>1128</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923</v>
      </c>
      <c r="B58" s="108"/>
      <c r="C58" s="92">
        <v>8</v>
      </c>
      <c r="D58" s="93" t="s">
        <v>1160</v>
      </c>
      <c r="E58" s="97" t="s">
        <v>164</v>
      </c>
      <c r="F58" s="92" t="s">
        <v>1128</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923</v>
      </c>
      <c r="B59" s="108"/>
      <c r="C59" s="92">
        <v>9</v>
      </c>
      <c r="D59" s="93" t="s">
        <v>1161</v>
      </c>
      <c r="E59" s="97" t="s">
        <v>78</v>
      </c>
      <c r="F59" s="92" t="s">
        <v>1128</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20"/>
      <c r="E66" s="220"/>
      <c r="F66" s="222"/>
      <c r="G66" s="99">
        <v>5</v>
      </c>
      <c r="H66" s="99">
        <v>4</v>
      </c>
      <c r="I66" s="116" t="s">
        <v>29</v>
      </c>
      <c r="J66" s="89"/>
      <c r="K66" s="89"/>
      <c r="L66" s="89"/>
      <c r="M66" s="96" t="s">
        <v>29</v>
      </c>
      <c r="N66" s="108"/>
      <c r="O66" s="219" t="s">
        <v>972</v>
      </c>
      <c r="P66" s="220"/>
      <c r="Q66" s="220"/>
      <c r="R66" s="222"/>
      <c r="S66" s="99">
        <v>3</v>
      </c>
      <c r="T66" s="99">
        <v>6</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1162</v>
      </c>
      <c r="E70" s="94" t="s">
        <v>372</v>
      </c>
      <c r="F70" s="92" t="s">
        <v>1128</v>
      </c>
      <c r="G70" s="92" t="s">
        <v>29</v>
      </c>
      <c r="H70" s="92">
        <v>5</v>
      </c>
      <c r="I70" s="115" t="s">
        <v>29</v>
      </c>
      <c r="J70" s="89"/>
      <c r="K70" s="89"/>
      <c r="L70" s="89"/>
      <c r="M70" s="96" t="s">
        <v>929</v>
      </c>
      <c r="N70" s="84"/>
      <c r="O70" s="92">
        <v>1</v>
      </c>
      <c r="P70" s="93" t="s">
        <v>1163</v>
      </c>
      <c r="Q70" s="94" t="s">
        <v>374</v>
      </c>
      <c r="R70" s="92" t="s">
        <v>1128</v>
      </c>
      <c r="S70" s="92" t="s">
        <v>29</v>
      </c>
      <c r="T70" s="92">
        <v>5</v>
      </c>
      <c r="U70" s="115" t="s">
        <v>29</v>
      </c>
    </row>
    <row r="71" spans="1:21" ht="13.2" x14ac:dyDescent="0.25">
      <c r="A71" s="67" t="s">
        <v>927</v>
      </c>
      <c r="B71" s="84"/>
      <c r="C71" s="92">
        <v>2</v>
      </c>
      <c r="D71" s="93" t="s">
        <v>1164</v>
      </c>
      <c r="E71" s="97" t="s">
        <v>370</v>
      </c>
      <c r="F71" s="92" t="s">
        <v>1128</v>
      </c>
      <c r="G71" s="92" t="s">
        <v>29</v>
      </c>
      <c r="H71" s="92">
        <v>3</v>
      </c>
      <c r="I71" s="115" t="s">
        <v>29</v>
      </c>
      <c r="J71" s="89"/>
      <c r="K71" s="89"/>
      <c r="L71" s="89"/>
      <c r="M71" s="96" t="s">
        <v>929</v>
      </c>
      <c r="N71" s="84"/>
      <c r="O71" s="92">
        <v>2</v>
      </c>
      <c r="P71" s="93" t="s">
        <v>1165</v>
      </c>
      <c r="Q71" s="97" t="s">
        <v>373</v>
      </c>
      <c r="R71" s="92" t="s">
        <v>1128</v>
      </c>
      <c r="S71" s="92" t="s">
        <v>29</v>
      </c>
      <c r="T71" s="92">
        <v>3</v>
      </c>
      <c r="U71" s="115" t="s">
        <v>29</v>
      </c>
    </row>
    <row r="72" spans="1:21" ht="13.2" x14ac:dyDescent="0.25">
      <c r="A72" s="67" t="s">
        <v>927</v>
      </c>
      <c r="B72" s="84"/>
      <c r="C72" s="92">
        <v>3</v>
      </c>
      <c r="D72" s="93" t="s">
        <v>1166</v>
      </c>
      <c r="E72" s="97" t="s">
        <v>432</v>
      </c>
      <c r="F72" s="92" t="s">
        <v>1127</v>
      </c>
      <c r="G72" s="92">
        <v>1</v>
      </c>
      <c r="H72" s="92" t="s">
        <v>29</v>
      </c>
      <c r="I72" s="115" t="s">
        <v>29</v>
      </c>
      <c r="J72" s="89"/>
      <c r="K72" s="89"/>
      <c r="L72" s="89"/>
      <c r="M72" s="96" t="s">
        <v>929</v>
      </c>
      <c r="N72" s="84"/>
      <c r="O72" s="92">
        <v>3</v>
      </c>
      <c r="P72" s="93" t="s">
        <v>1167</v>
      </c>
      <c r="Q72" s="97" t="s">
        <v>433</v>
      </c>
      <c r="R72" s="92" t="s">
        <v>1127</v>
      </c>
      <c r="S72" s="92">
        <v>1</v>
      </c>
      <c r="T72" s="92" t="s">
        <v>29</v>
      </c>
      <c r="U72" s="115" t="s">
        <v>29</v>
      </c>
    </row>
    <row r="73" spans="1:21" ht="13.2" x14ac:dyDescent="0.25">
      <c r="A73" s="67" t="s">
        <v>927</v>
      </c>
      <c r="B73" s="84"/>
      <c r="C73" s="92">
        <v>4</v>
      </c>
      <c r="D73" s="93" t="s">
        <v>1168</v>
      </c>
      <c r="E73" s="97" t="s">
        <v>369</v>
      </c>
      <c r="F73" s="92" t="s">
        <v>1128</v>
      </c>
      <c r="G73" s="92" t="s">
        <v>29</v>
      </c>
      <c r="H73" s="92" t="s">
        <v>29</v>
      </c>
      <c r="I73" s="115" t="s">
        <v>29</v>
      </c>
      <c r="J73" s="89"/>
      <c r="K73" s="89"/>
      <c r="L73" s="89"/>
      <c r="M73" s="96" t="s">
        <v>929</v>
      </c>
      <c r="N73" s="84"/>
      <c r="O73" s="92">
        <v>4</v>
      </c>
      <c r="P73" s="93" t="s">
        <v>1169</v>
      </c>
      <c r="Q73" s="97" t="s">
        <v>96</v>
      </c>
      <c r="R73" s="92" t="s">
        <v>1128</v>
      </c>
      <c r="S73" s="92" t="s">
        <v>29</v>
      </c>
      <c r="T73" s="92" t="s">
        <v>29</v>
      </c>
      <c r="U73" s="115" t="s">
        <v>29</v>
      </c>
    </row>
    <row r="74" spans="1:21" ht="13.2" x14ac:dyDescent="0.25">
      <c r="A74" s="67" t="s">
        <v>927</v>
      </c>
      <c r="B74" s="84"/>
      <c r="C74" s="92">
        <v>5</v>
      </c>
      <c r="D74" s="93" t="s">
        <v>1170</v>
      </c>
      <c r="E74" s="97" t="s">
        <v>434</v>
      </c>
      <c r="F74" s="92" t="s">
        <v>1127</v>
      </c>
      <c r="G74" s="92" t="s">
        <v>29</v>
      </c>
      <c r="H74" s="92" t="s">
        <v>29</v>
      </c>
      <c r="I74" s="115" t="s">
        <v>64</v>
      </c>
      <c r="J74" s="89"/>
      <c r="K74" s="89"/>
      <c r="L74" s="89"/>
      <c r="M74" s="96" t="s">
        <v>29</v>
      </c>
      <c r="N74" s="84"/>
      <c r="O74" s="92" t="s">
        <v>29</v>
      </c>
      <c r="P74" s="93" t="s">
        <v>29</v>
      </c>
      <c r="Q74" s="97" t="s">
        <v>29</v>
      </c>
      <c r="R74" s="92" t="s">
        <v>29</v>
      </c>
      <c r="S74" s="92" t="s">
        <v>29</v>
      </c>
      <c r="T74" s="92" t="s">
        <v>29</v>
      </c>
      <c r="U74" s="115" t="s">
        <v>29</v>
      </c>
    </row>
    <row r="75" spans="1:21" ht="13.2" x14ac:dyDescent="0.25">
      <c r="A75" s="67" t="s">
        <v>927</v>
      </c>
      <c r="B75" s="84"/>
      <c r="C75" s="92">
        <v>6</v>
      </c>
      <c r="D75" s="93" t="s">
        <v>1171</v>
      </c>
      <c r="E75" s="97" t="s">
        <v>371</v>
      </c>
      <c r="F75" s="92" t="s">
        <v>1128</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20"/>
      <c r="E85" s="220"/>
      <c r="F85" s="220"/>
      <c r="G85" s="99">
        <v>1</v>
      </c>
      <c r="H85" s="99">
        <v>8</v>
      </c>
      <c r="I85" s="115" t="s">
        <v>29</v>
      </c>
      <c r="J85" s="89"/>
      <c r="K85" s="89"/>
      <c r="L85" s="89"/>
      <c r="M85" s="96" t="s">
        <v>29</v>
      </c>
      <c r="N85" s="84"/>
      <c r="O85" s="219" t="s">
        <v>985</v>
      </c>
      <c r="P85" s="220"/>
      <c r="Q85" s="220"/>
      <c r="R85" s="220"/>
      <c r="S85" s="99">
        <v>1</v>
      </c>
      <c r="T85" s="99">
        <v>8</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1172</v>
      </c>
      <c r="E89" s="94" t="s">
        <v>439</v>
      </c>
      <c r="F89" s="92" t="s">
        <v>1127</v>
      </c>
      <c r="G89" s="92">
        <v>5</v>
      </c>
      <c r="H89" s="92" t="s">
        <v>29</v>
      </c>
      <c r="I89" s="116" t="s">
        <v>29</v>
      </c>
      <c r="J89" s="89"/>
      <c r="K89" s="89"/>
      <c r="L89" s="89"/>
      <c r="M89" s="96" t="s">
        <v>933</v>
      </c>
      <c r="N89" s="108"/>
      <c r="O89" s="92">
        <v>1</v>
      </c>
      <c r="P89" s="93" t="s">
        <v>1173</v>
      </c>
      <c r="Q89" s="94" t="s">
        <v>444</v>
      </c>
      <c r="R89" s="92" t="s">
        <v>1127</v>
      </c>
      <c r="S89" s="92">
        <v>5</v>
      </c>
      <c r="T89" s="92" t="s">
        <v>29</v>
      </c>
      <c r="U89" s="116" t="s">
        <v>29</v>
      </c>
    </row>
    <row r="90" spans="1:21" ht="13.2" x14ac:dyDescent="0.25">
      <c r="A90" s="67" t="s">
        <v>931</v>
      </c>
      <c r="B90" s="108"/>
      <c r="C90" s="92">
        <v>2</v>
      </c>
      <c r="D90" s="93" t="s">
        <v>1174</v>
      </c>
      <c r="E90" s="97" t="s">
        <v>442</v>
      </c>
      <c r="F90" s="92" t="s">
        <v>1127</v>
      </c>
      <c r="G90" s="92">
        <v>3</v>
      </c>
      <c r="H90" s="92" t="s">
        <v>29</v>
      </c>
      <c r="I90" s="116" t="s">
        <v>29</v>
      </c>
      <c r="J90" s="89"/>
      <c r="K90" s="89"/>
      <c r="L90" s="89"/>
      <c r="M90" s="96" t="s">
        <v>933</v>
      </c>
      <c r="N90" s="108"/>
      <c r="O90" s="92">
        <v>2</v>
      </c>
      <c r="P90" s="93" t="s">
        <v>1175</v>
      </c>
      <c r="Q90" s="97" t="s">
        <v>383</v>
      </c>
      <c r="R90" s="92" t="s">
        <v>1128</v>
      </c>
      <c r="S90" s="92" t="s">
        <v>29</v>
      </c>
      <c r="T90" s="92">
        <v>3</v>
      </c>
      <c r="U90" s="116" t="s">
        <v>29</v>
      </c>
    </row>
    <row r="91" spans="1:21" ht="13.2" x14ac:dyDescent="0.25">
      <c r="A91" s="67" t="s">
        <v>931</v>
      </c>
      <c r="B91" s="108"/>
      <c r="C91" s="92">
        <v>3</v>
      </c>
      <c r="D91" s="93" t="s">
        <v>1176</v>
      </c>
      <c r="E91" s="97" t="s">
        <v>440</v>
      </c>
      <c r="F91" s="92" t="s">
        <v>1127</v>
      </c>
      <c r="G91" s="92">
        <v>1</v>
      </c>
      <c r="H91" s="92" t="s">
        <v>29</v>
      </c>
      <c r="I91" s="116" t="s">
        <v>29</v>
      </c>
      <c r="J91" s="89"/>
      <c r="K91" s="89"/>
      <c r="L91" s="89"/>
      <c r="M91" s="96" t="s">
        <v>933</v>
      </c>
      <c r="N91" s="108"/>
      <c r="O91" s="92">
        <v>3</v>
      </c>
      <c r="P91" s="93" t="s">
        <v>1177</v>
      </c>
      <c r="Q91" s="97" t="s">
        <v>382</v>
      </c>
      <c r="R91" s="92" t="s">
        <v>1128</v>
      </c>
      <c r="S91" s="92" t="s">
        <v>29</v>
      </c>
      <c r="T91" s="92">
        <v>1</v>
      </c>
      <c r="U91" s="116" t="s">
        <v>29</v>
      </c>
    </row>
    <row r="92" spans="1:21" ht="13.2" x14ac:dyDescent="0.25">
      <c r="A92" s="67" t="s">
        <v>931</v>
      </c>
      <c r="B92" s="108"/>
      <c r="C92" s="92">
        <v>4</v>
      </c>
      <c r="D92" s="93" t="s">
        <v>1178</v>
      </c>
      <c r="E92" s="97" t="s">
        <v>443</v>
      </c>
      <c r="F92" s="92" t="s">
        <v>1127</v>
      </c>
      <c r="G92" s="92" t="s">
        <v>29</v>
      </c>
      <c r="H92" s="92" t="s">
        <v>29</v>
      </c>
      <c r="I92" s="116" t="s">
        <v>29</v>
      </c>
      <c r="J92" s="89"/>
      <c r="K92" s="89"/>
      <c r="L92" s="89"/>
      <c r="M92" s="96" t="s">
        <v>29</v>
      </c>
      <c r="N92" s="108"/>
      <c r="O92" s="92" t="s">
        <v>29</v>
      </c>
      <c r="P92" s="93" t="s">
        <v>29</v>
      </c>
      <c r="Q92" s="97" t="s">
        <v>29</v>
      </c>
      <c r="R92" s="92" t="s">
        <v>29</v>
      </c>
      <c r="S92" s="92" t="s">
        <v>29</v>
      </c>
      <c r="T92" s="92" t="s">
        <v>29</v>
      </c>
      <c r="U92" s="116" t="s">
        <v>29</v>
      </c>
    </row>
    <row r="93" spans="1:21" ht="13.2" x14ac:dyDescent="0.25">
      <c r="A93" s="67" t="s">
        <v>931</v>
      </c>
      <c r="B93" s="108"/>
      <c r="C93" s="92">
        <v>5</v>
      </c>
      <c r="D93" s="93" t="s">
        <v>1179</v>
      </c>
      <c r="E93" s="97" t="s">
        <v>70</v>
      </c>
      <c r="F93" s="92" t="s">
        <v>1127</v>
      </c>
      <c r="G93" s="92" t="s">
        <v>29</v>
      </c>
      <c r="H93" s="92" t="s">
        <v>29</v>
      </c>
      <c r="I93" s="116" t="s">
        <v>29</v>
      </c>
      <c r="J93" s="89"/>
      <c r="K93" s="89"/>
      <c r="L93" s="89"/>
      <c r="M93" s="96" t="s">
        <v>29</v>
      </c>
      <c r="N93" s="108"/>
      <c r="O93" s="92" t="s">
        <v>29</v>
      </c>
      <c r="P93" s="98" t="s">
        <v>29</v>
      </c>
      <c r="Q93" s="97" t="s">
        <v>29</v>
      </c>
      <c r="R93" s="92" t="s">
        <v>29</v>
      </c>
      <c r="S93" s="92" t="s">
        <v>29</v>
      </c>
      <c r="T93" s="92" t="s">
        <v>29</v>
      </c>
      <c r="U93" s="116" t="s">
        <v>29</v>
      </c>
    </row>
    <row r="94" spans="1:21" ht="13.2" x14ac:dyDescent="0.25">
      <c r="A94" s="67" t="s">
        <v>931</v>
      </c>
      <c r="B94" s="108"/>
      <c r="C94" s="92">
        <v>6</v>
      </c>
      <c r="D94" s="98" t="s">
        <v>1180</v>
      </c>
      <c r="E94" s="97" t="s">
        <v>381</v>
      </c>
      <c r="F94" s="92" t="s">
        <v>1128</v>
      </c>
      <c r="G94" s="92" t="s">
        <v>29</v>
      </c>
      <c r="H94" s="92" t="s">
        <v>29</v>
      </c>
      <c r="I94" s="116" t="s">
        <v>29</v>
      </c>
      <c r="J94" s="89"/>
      <c r="K94" s="89"/>
      <c r="L94" s="89"/>
      <c r="M94" s="96" t="s">
        <v>29</v>
      </c>
      <c r="N94" s="108"/>
      <c r="O94" s="92" t="s">
        <v>29</v>
      </c>
      <c r="P94" s="98" t="s">
        <v>29</v>
      </c>
      <c r="Q94" s="97" t="s">
        <v>29</v>
      </c>
      <c r="R94" s="92" t="s">
        <v>29</v>
      </c>
      <c r="S94" s="92" t="s">
        <v>29</v>
      </c>
      <c r="T94" s="92" t="s">
        <v>29</v>
      </c>
      <c r="U94" s="116" t="s">
        <v>29</v>
      </c>
    </row>
    <row r="95" spans="1:21" ht="13.2" x14ac:dyDescent="0.25">
      <c r="A95" s="67" t="s">
        <v>931</v>
      </c>
      <c r="B95" s="108"/>
      <c r="C95" s="92">
        <v>7</v>
      </c>
      <c r="D95" s="98" t="s">
        <v>1181</v>
      </c>
      <c r="E95" s="97" t="s">
        <v>441</v>
      </c>
      <c r="F95" s="92" t="s">
        <v>1127</v>
      </c>
      <c r="G95" s="92" t="s">
        <v>29</v>
      </c>
      <c r="H95" s="92" t="s">
        <v>29</v>
      </c>
      <c r="I95" s="116" t="s">
        <v>29</v>
      </c>
      <c r="J95" s="89"/>
      <c r="K95" s="89"/>
      <c r="L95" s="89"/>
      <c r="M95" s="96" t="s">
        <v>29</v>
      </c>
      <c r="N95" s="108"/>
      <c r="O95" s="92" t="s">
        <v>29</v>
      </c>
      <c r="P95" s="98" t="s">
        <v>29</v>
      </c>
      <c r="Q95" s="97" t="s">
        <v>29</v>
      </c>
      <c r="R95" s="92" t="s">
        <v>29</v>
      </c>
      <c r="S95" s="92" t="s">
        <v>29</v>
      </c>
      <c r="T95" s="92" t="s">
        <v>29</v>
      </c>
      <c r="U95" s="116" t="s">
        <v>29</v>
      </c>
    </row>
    <row r="96" spans="1:21" ht="13.2" x14ac:dyDescent="0.25">
      <c r="A96" s="67" t="s">
        <v>29</v>
      </c>
      <c r="B96" s="108"/>
      <c r="C96" s="92" t="s">
        <v>29</v>
      </c>
      <c r="D96" s="98" t="s">
        <v>29</v>
      </c>
      <c r="E96" s="97" t="s">
        <v>29</v>
      </c>
      <c r="F96" s="92" t="s">
        <v>29</v>
      </c>
      <c r="G96" s="92" t="s">
        <v>29</v>
      </c>
      <c r="H96" s="92" t="s">
        <v>29</v>
      </c>
      <c r="I96" s="116" t="s">
        <v>29</v>
      </c>
      <c r="J96" s="89"/>
      <c r="K96" s="89"/>
      <c r="L96" s="89"/>
      <c r="M96" s="96" t="s">
        <v>29</v>
      </c>
      <c r="N96" s="108"/>
      <c r="O96" s="92" t="s">
        <v>29</v>
      </c>
      <c r="P96" s="98" t="s">
        <v>29</v>
      </c>
      <c r="Q96" s="97" t="s">
        <v>29</v>
      </c>
      <c r="R96" s="92" t="s">
        <v>29</v>
      </c>
      <c r="S96" s="92" t="s">
        <v>29</v>
      </c>
      <c r="T96" s="92" t="s">
        <v>29</v>
      </c>
      <c r="U96" s="116" t="s">
        <v>29</v>
      </c>
    </row>
    <row r="97" spans="1:21" ht="13.2" x14ac:dyDescent="0.25">
      <c r="A97" s="67" t="s">
        <v>29</v>
      </c>
      <c r="B97" s="108"/>
      <c r="C97" s="92" t="s">
        <v>29</v>
      </c>
      <c r="D97" s="98" t="s">
        <v>29</v>
      </c>
      <c r="E97" s="97" t="s">
        <v>29</v>
      </c>
      <c r="F97" s="92" t="s">
        <v>29</v>
      </c>
      <c r="G97" s="92" t="s">
        <v>29</v>
      </c>
      <c r="H97" s="92" t="s">
        <v>29</v>
      </c>
      <c r="I97" s="116" t="s">
        <v>29</v>
      </c>
      <c r="J97" s="89"/>
      <c r="K97" s="89"/>
      <c r="L97" s="89"/>
      <c r="M97" s="96" t="s">
        <v>29</v>
      </c>
      <c r="N97" s="108"/>
      <c r="O97" s="92" t="s">
        <v>29</v>
      </c>
      <c r="P97" s="98" t="s">
        <v>29</v>
      </c>
      <c r="Q97" s="97" t="s">
        <v>29</v>
      </c>
      <c r="R97" s="92" t="s">
        <v>29</v>
      </c>
      <c r="S97" s="92" t="s">
        <v>29</v>
      </c>
      <c r="T97" s="92" t="s">
        <v>29</v>
      </c>
      <c r="U97" s="116" t="s">
        <v>29</v>
      </c>
    </row>
    <row r="98" spans="1:21" ht="13.2" x14ac:dyDescent="0.25">
      <c r="A98" s="67" t="s">
        <v>29</v>
      </c>
      <c r="B98" s="108"/>
      <c r="C98" s="92" t="s">
        <v>29</v>
      </c>
      <c r="D98" s="98"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8"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20"/>
      <c r="E104" s="220"/>
      <c r="F104" s="220"/>
      <c r="G104" s="99">
        <v>9</v>
      </c>
      <c r="H104" s="99">
        <v>0</v>
      </c>
      <c r="I104" s="116" t="s">
        <v>29</v>
      </c>
      <c r="J104" s="89"/>
      <c r="K104" s="89"/>
      <c r="L104" s="89"/>
      <c r="M104" s="96" t="s">
        <v>29</v>
      </c>
      <c r="N104" s="108"/>
      <c r="O104" s="219" t="s">
        <v>996</v>
      </c>
      <c r="P104" s="220"/>
      <c r="Q104" s="220"/>
      <c r="R104" s="220"/>
      <c r="S104" s="99">
        <v>5</v>
      </c>
      <c r="T104" s="99">
        <v>4</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1182</v>
      </c>
      <c r="R106" s="220"/>
      <c r="S106" s="220"/>
      <c r="T106" s="222"/>
      <c r="U106" s="66" t="s">
        <v>29</v>
      </c>
    </row>
    <row r="107" spans="1:21" ht="13.2" x14ac:dyDescent="0.25">
      <c r="A107" s="67"/>
      <c r="B107" s="66"/>
      <c r="C107" s="245" t="s">
        <v>1183</v>
      </c>
      <c r="D107" s="227"/>
      <c r="E107" s="227"/>
      <c r="F107" s="227"/>
      <c r="G107" s="227"/>
      <c r="H107" s="228"/>
      <c r="I107" s="89" t="s">
        <v>29</v>
      </c>
      <c r="J107" s="89"/>
      <c r="K107" s="89"/>
      <c r="L107" s="89"/>
      <c r="M107" s="96"/>
      <c r="N107" s="119"/>
      <c r="O107" s="120" t="s">
        <v>1001</v>
      </c>
      <c r="P107" s="121"/>
      <c r="Q107" s="221" t="s">
        <v>1184</v>
      </c>
      <c r="R107" s="220"/>
      <c r="S107" s="220"/>
      <c r="T107" s="222"/>
      <c r="U107" s="66" t="s">
        <v>29</v>
      </c>
    </row>
    <row r="108" spans="1:21" ht="13.2" x14ac:dyDescent="0.25">
      <c r="A108" s="67"/>
      <c r="B108" s="66"/>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B109" s="66"/>
      <c r="C109" s="118" t="s">
        <v>1003</v>
      </c>
      <c r="D109" s="122"/>
      <c r="E109" s="225" t="s">
        <v>1184</v>
      </c>
      <c r="F109" s="220"/>
      <c r="G109" s="220"/>
      <c r="H109" s="222"/>
      <c r="I109" s="89" t="s">
        <v>29</v>
      </c>
      <c r="J109" s="89"/>
      <c r="K109" s="89"/>
      <c r="L109" s="89"/>
      <c r="M109" s="96"/>
      <c r="N109" s="119"/>
      <c r="O109" s="118" t="s">
        <v>1004</v>
      </c>
      <c r="P109" s="122"/>
      <c r="Q109" s="225" t="s">
        <v>1185</v>
      </c>
      <c r="R109" s="220"/>
      <c r="S109" s="220"/>
      <c r="T109" s="222"/>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64"/>
      <c r="D111" s="227"/>
      <c r="E111" s="227"/>
      <c r="F111" s="227"/>
      <c r="G111" s="227"/>
      <c r="H111" s="228"/>
      <c r="I111" s="66" t="s">
        <v>29</v>
      </c>
      <c r="J111" s="66"/>
      <c r="K111" s="66"/>
      <c r="L111" s="66"/>
      <c r="M111" s="74"/>
      <c r="N111" s="123"/>
      <c r="O111" s="240"/>
      <c r="P111" s="227"/>
      <c r="Q111" s="227"/>
      <c r="R111" s="227"/>
      <c r="S111" s="227"/>
      <c r="T111" s="228"/>
      <c r="U111" s="66" t="s">
        <v>29</v>
      </c>
    </row>
    <row r="112" spans="1:21" ht="13.2" x14ac:dyDescent="0.25">
      <c r="A112" s="67"/>
      <c r="B112" s="66"/>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B113" s="66"/>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B114" s="66"/>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220"/>
      <c r="E119" s="271" t="s">
        <v>870</v>
      </c>
      <c r="F119" s="220"/>
      <c r="G119" s="222"/>
      <c r="H119" s="150" t="s">
        <v>1186</v>
      </c>
      <c r="I119" s="151" t="s">
        <v>29</v>
      </c>
      <c r="J119" s="152"/>
      <c r="K119" s="152"/>
      <c r="L119" s="152"/>
      <c r="M119" s="153"/>
      <c r="N119" s="64"/>
      <c r="O119" s="236" t="s">
        <v>860</v>
      </c>
      <c r="P119" s="220"/>
      <c r="Q119" s="261" t="s">
        <v>871</v>
      </c>
      <c r="R119" s="220"/>
      <c r="S119" s="222"/>
      <c r="T119" s="154" t="s">
        <v>1187</v>
      </c>
      <c r="U119" s="155" t="s">
        <v>29</v>
      </c>
    </row>
    <row r="120" spans="1:21" ht="17.399999999999999" x14ac:dyDescent="0.25">
      <c r="A120" s="67"/>
      <c r="B120" s="156"/>
      <c r="C120" s="265" t="s">
        <v>2</v>
      </c>
      <c r="D120" s="222"/>
      <c r="E120" s="266">
        <v>48</v>
      </c>
      <c r="F120" s="220"/>
      <c r="G120" s="220"/>
      <c r="H120" s="157"/>
      <c r="I120" s="151" t="s">
        <v>29</v>
      </c>
      <c r="J120" s="158"/>
      <c r="K120" s="158"/>
      <c r="L120" s="158"/>
      <c r="M120" s="159"/>
      <c r="N120" s="64"/>
      <c r="O120" s="262" t="s">
        <v>2</v>
      </c>
      <c r="P120" s="222"/>
      <c r="Q120" s="263">
        <v>24</v>
      </c>
      <c r="R120" s="220"/>
      <c r="S120" s="220"/>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B123" s="66"/>
      <c r="C123" s="68" t="s">
        <v>919</v>
      </c>
      <c r="D123" s="161" t="s">
        <v>920</v>
      </c>
      <c r="E123" s="68"/>
      <c r="F123" s="68"/>
      <c r="G123" s="78">
        <v>9</v>
      </c>
      <c r="H123" s="79">
        <v>0</v>
      </c>
      <c r="I123" s="66" t="s">
        <v>29</v>
      </c>
      <c r="J123" s="66"/>
      <c r="K123" s="66"/>
      <c r="L123" s="66"/>
      <c r="M123" s="74"/>
      <c r="N123" s="66"/>
      <c r="O123" s="68" t="s">
        <v>921</v>
      </c>
      <c r="P123" s="161" t="s">
        <v>922</v>
      </c>
      <c r="Q123" s="68"/>
      <c r="R123" s="68"/>
      <c r="S123" s="78">
        <v>5</v>
      </c>
      <c r="T123" s="79">
        <v>4</v>
      </c>
      <c r="U123" s="66" t="s">
        <v>29</v>
      </c>
    </row>
    <row r="124" spans="1:21" ht="13.2" x14ac:dyDescent="0.25">
      <c r="A124" s="67"/>
      <c r="B124" s="66"/>
      <c r="C124" s="68" t="s">
        <v>923</v>
      </c>
      <c r="D124" s="161" t="s">
        <v>924</v>
      </c>
      <c r="E124" s="68"/>
      <c r="F124" s="68"/>
      <c r="G124" s="78">
        <v>9</v>
      </c>
      <c r="H124" s="79">
        <v>0</v>
      </c>
      <c r="I124" s="66" t="s">
        <v>29</v>
      </c>
      <c r="J124" s="66"/>
      <c r="K124" s="66"/>
      <c r="L124" s="66"/>
      <c r="M124" s="74"/>
      <c r="N124" s="66"/>
      <c r="O124" s="68" t="s">
        <v>925</v>
      </c>
      <c r="P124" s="161" t="s">
        <v>926</v>
      </c>
      <c r="Q124" s="68"/>
      <c r="R124" s="68"/>
      <c r="S124" s="78">
        <v>4</v>
      </c>
      <c r="T124" s="79">
        <v>5</v>
      </c>
      <c r="U124" s="66" t="s">
        <v>29</v>
      </c>
    </row>
    <row r="125" spans="1:21" ht="13.2" x14ac:dyDescent="0.25">
      <c r="A125" s="67"/>
      <c r="B125" s="66"/>
      <c r="C125" s="68" t="s">
        <v>927</v>
      </c>
      <c r="D125" s="161" t="s">
        <v>928</v>
      </c>
      <c r="E125" s="68"/>
      <c r="F125" s="68"/>
      <c r="G125" s="78">
        <v>4</v>
      </c>
      <c r="H125" s="79">
        <v>5</v>
      </c>
      <c r="I125" s="66" t="s">
        <v>29</v>
      </c>
      <c r="J125" s="66"/>
      <c r="K125" s="66"/>
      <c r="L125" s="66"/>
      <c r="M125" s="74"/>
      <c r="N125" s="66"/>
      <c r="O125" s="68" t="s">
        <v>929</v>
      </c>
      <c r="P125" s="161" t="s">
        <v>930</v>
      </c>
      <c r="Q125" s="68"/>
      <c r="R125" s="68"/>
      <c r="S125" s="78">
        <v>5</v>
      </c>
      <c r="T125" s="79">
        <v>4</v>
      </c>
      <c r="U125" s="66" t="s">
        <v>29</v>
      </c>
    </row>
    <row r="126" spans="1:21" ht="13.2" x14ac:dyDescent="0.25">
      <c r="A126" s="67"/>
      <c r="B126" s="66"/>
      <c r="C126" s="68" t="s">
        <v>931</v>
      </c>
      <c r="D126" s="161" t="s">
        <v>932</v>
      </c>
      <c r="E126" s="68"/>
      <c r="F126" s="68"/>
      <c r="G126" s="78">
        <v>9</v>
      </c>
      <c r="H126" s="79">
        <v>0</v>
      </c>
      <c r="I126" s="66" t="s">
        <v>29</v>
      </c>
      <c r="J126" s="66"/>
      <c r="K126" s="66"/>
      <c r="L126" s="66"/>
      <c r="M126" s="74"/>
      <c r="N126" s="66"/>
      <c r="O126" s="68" t="s">
        <v>933</v>
      </c>
      <c r="P126" s="161" t="s">
        <v>934</v>
      </c>
      <c r="Q126" s="68"/>
      <c r="R126" s="68"/>
      <c r="S126" s="78">
        <v>3</v>
      </c>
      <c r="T126" s="79">
        <v>6</v>
      </c>
      <c r="U126" s="66" t="s">
        <v>29</v>
      </c>
    </row>
    <row r="127" spans="1:21" ht="13.2" x14ac:dyDescent="0.25">
      <c r="A127" s="67"/>
      <c r="B127" s="66"/>
      <c r="C127" s="80"/>
      <c r="D127" s="162" t="s">
        <v>935</v>
      </c>
      <c r="E127" s="162"/>
      <c r="F127" s="162"/>
      <c r="G127" s="72">
        <v>31</v>
      </c>
      <c r="H127" s="73">
        <v>5</v>
      </c>
      <c r="I127" s="66" t="s">
        <v>29</v>
      </c>
      <c r="J127" s="66"/>
      <c r="K127" s="66"/>
      <c r="L127" s="66"/>
      <c r="M127" s="74"/>
      <c r="N127" s="66"/>
      <c r="O127" s="80"/>
      <c r="P127" s="162" t="s">
        <v>935</v>
      </c>
      <c r="Q127" s="162"/>
      <c r="R127" s="162"/>
      <c r="S127" s="72">
        <v>17</v>
      </c>
      <c r="T127" s="73">
        <v>19</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1188</v>
      </c>
      <c r="E132" s="94" t="s">
        <v>386</v>
      </c>
      <c r="F132" s="92" t="s">
        <v>1186</v>
      </c>
      <c r="G132" s="92">
        <v>5</v>
      </c>
      <c r="H132" s="92" t="s">
        <v>29</v>
      </c>
      <c r="I132" s="115" t="s">
        <v>29</v>
      </c>
      <c r="J132" s="89"/>
      <c r="K132" s="89"/>
      <c r="L132" s="89"/>
      <c r="M132" s="96" t="s">
        <v>921</v>
      </c>
      <c r="N132" s="84"/>
      <c r="O132" s="92">
        <v>1</v>
      </c>
      <c r="P132" s="93" t="s">
        <v>1189</v>
      </c>
      <c r="Q132" s="94" t="s">
        <v>679</v>
      </c>
      <c r="R132" s="92" t="s">
        <v>1186</v>
      </c>
      <c r="S132" s="92">
        <v>5</v>
      </c>
      <c r="T132" s="92" t="s">
        <v>29</v>
      </c>
      <c r="U132" s="115" t="s">
        <v>29</v>
      </c>
    </row>
    <row r="133" spans="1:21" ht="13.2" x14ac:dyDescent="0.25">
      <c r="A133" s="67" t="s">
        <v>919</v>
      </c>
      <c r="B133" s="84"/>
      <c r="C133" s="92">
        <v>2</v>
      </c>
      <c r="D133" s="93" t="s">
        <v>1190</v>
      </c>
      <c r="E133" s="97" t="s">
        <v>388</v>
      </c>
      <c r="F133" s="92" t="s">
        <v>1186</v>
      </c>
      <c r="G133" s="92">
        <v>3</v>
      </c>
      <c r="H133" s="92" t="s">
        <v>29</v>
      </c>
      <c r="I133" s="115" t="s">
        <v>29</v>
      </c>
      <c r="J133" s="89"/>
      <c r="K133" s="89"/>
      <c r="L133" s="89"/>
      <c r="M133" s="96" t="s">
        <v>921</v>
      </c>
      <c r="N133" s="84"/>
      <c r="O133" s="92">
        <v>2</v>
      </c>
      <c r="P133" s="93" t="s">
        <v>1191</v>
      </c>
      <c r="Q133" s="97" t="s">
        <v>409</v>
      </c>
      <c r="R133" s="92" t="s">
        <v>1187</v>
      </c>
      <c r="S133" s="92" t="s">
        <v>29</v>
      </c>
      <c r="T133" s="92">
        <v>3</v>
      </c>
      <c r="U133" s="115" t="s">
        <v>29</v>
      </c>
    </row>
    <row r="134" spans="1:21" ht="13.2" x14ac:dyDescent="0.25">
      <c r="A134" s="67" t="s">
        <v>919</v>
      </c>
      <c r="B134" s="84"/>
      <c r="C134" s="92">
        <v>3</v>
      </c>
      <c r="D134" s="93" t="s">
        <v>1192</v>
      </c>
      <c r="E134" s="97" t="s">
        <v>676</v>
      </c>
      <c r="F134" s="92" t="s">
        <v>1186</v>
      </c>
      <c r="G134" s="92">
        <v>1</v>
      </c>
      <c r="H134" s="92" t="s">
        <v>29</v>
      </c>
      <c r="I134" s="115" t="s">
        <v>29</v>
      </c>
      <c r="J134" s="89"/>
      <c r="K134" s="89"/>
      <c r="L134" s="89"/>
      <c r="M134" s="96" t="s">
        <v>921</v>
      </c>
      <c r="N134" s="84"/>
      <c r="O134" s="92">
        <v>3</v>
      </c>
      <c r="P134" s="93" t="s">
        <v>1193</v>
      </c>
      <c r="Q134" s="97" t="s">
        <v>406</v>
      </c>
      <c r="R134" s="92" t="s">
        <v>1187</v>
      </c>
      <c r="S134" s="92" t="s">
        <v>29</v>
      </c>
      <c r="T134" s="92">
        <v>1</v>
      </c>
      <c r="U134" s="115" t="s">
        <v>29</v>
      </c>
    </row>
    <row r="135" spans="1:21" ht="13.2" x14ac:dyDescent="0.25">
      <c r="A135" s="67" t="s">
        <v>919</v>
      </c>
      <c r="B135" s="84"/>
      <c r="C135" s="92">
        <v>4</v>
      </c>
      <c r="D135" s="93" t="s">
        <v>1194</v>
      </c>
      <c r="E135" s="97" t="s">
        <v>403</v>
      </c>
      <c r="F135" s="92" t="s">
        <v>1187</v>
      </c>
      <c r="G135" s="92" t="s">
        <v>29</v>
      </c>
      <c r="H135" s="92" t="s">
        <v>29</v>
      </c>
      <c r="I135" s="115" t="s">
        <v>29</v>
      </c>
      <c r="J135" s="89"/>
      <c r="K135" s="89"/>
      <c r="L135" s="89"/>
      <c r="M135" s="96" t="s">
        <v>921</v>
      </c>
      <c r="N135" s="84"/>
      <c r="O135" s="92">
        <v>4</v>
      </c>
      <c r="P135" s="93" t="s">
        <v>1195</v>
      </c>
      <c r="Q135" s="97" t="s">
        <v>407</v>
      </c>
      <c r="R135" s="92" t="s">
        <v>1187</v>
      </c>
      <c r="S135" s="92" t="s">
        <v>29</v>
      </c>
      <c r="T135" s="92" t="s">
        <v>29</v>
      </c>
      <c r="U135" s="115" t="s">
        <v>29</v>
      </c>
    </row>
    <row r="136" spans="1:21" ht="13.2" x14ac:dyDescent="0.25">
      <c r="A136" s="67" t="s">
        <v>919</v>
      </c>
      <c r="B136" s="84"/>
      <c r="C136" s="92">
        <v>5</v>
      </c>
      <c r="D136" s="93" t="s">
        <v>1196</v>
      </c>
      <c r="E136" s="97" t="s">
        <v>675</v>
      </c>
      <c r="F136" s="92" t="s">
        <v>1186</v>
      </c>
      <c r="G136" s="92" t="s">
        <v>29</v>
      </c>
      <c r="H136" s="92" t="s">
        <v>29</v>
      </c>
      <c r="I136" s="115" t="s">
        <v>29</v>
      </c>
      <c r="J136" s="89"/>
      <c r="K136" s="89"/>
      <c r="L136" s="89"/>
      <c r="M136" s="96" t="s">
        <v>921</v>
      </c>
      <c r="N136" s="84"/>
      <c r="O136" s="92">
        <v>5</v>
      </c>
      <c r="P136" s="93" t="s">
        <v>1197</v>
      </c>
      <c r="Q136" s="97" t="s">
        <v>677</v>
      </c>
      <c r="R136" s="92" t="s">
        <v>1186</v>
      </c>
      <c r="S136" s="92" t="s">
        <v>29</v>
      </c>
      <c r="T136" s="92" t="s">
        <v>29</v>
      </c>
      <c r="U136" s="115" t="s">
        <v>29</v>
      </c>
    </row>
    <row r="137" spans="1:21" ht="13.2" x14ac:dyDescent="0.25">
      <c r="A137" s="67" t="s">
        <v>919</v>
      </c>
      <c r="B137" s="84"/>
      <c r="C137" s="92">
        <v>6</v>
      </c>
      <c r="D137" s="93" t="s">
        <v>1198</v>
      </c>
      <c r="E137" s="97" t="s">
        <v>402</v>
      </c>
      <c r="F137" s="92" t="s">
        <v>1187</v>
      </c>
      <c r="G137" s="92" t="s">
        <v>29</v>
      </c>
      <c r="H137" s="92" t="s">
        <v>29</v>
      </c>
      <c r="I137" s="115" t="s">
        <v>29</v>
      </c>
      <c r="J137" s="89"/>
      <c r="K137" s="89"/>
      <c r="L137" s="89"/>
      <c r="M137" s="96" t="s">
        <v>921</v>
      </c>
      <c r="N137" s="84"/>
      <c r="O137" s="92">
        <v>6</v>
      </c>
      <c r="P137" s="93" t="s">
        <v>1199</v>
      </c>
      <c r="Q137" s="97" t="s">
        <v>678</v>
      </c>
      <c r="R137" s="92" t="s">
        <v>1186</v>
      </c>
      <c r="S137" s="92" t="s">
        <v>29</v>
      </c>
      <c r="T137" s="92" t="s">
        <v>29</v>
      </c>
      <c r="U137" s="115" t="s">
        <v>29</v>
      </c>
    </row>
    <row r="138" spans="1:21" ht="13.2" x14ac:dyDescent="0.25">
      <c r="A138" s="67" t="s">
        <v>919</v>
      </c>
      <c r="B138" s="84"/>
      <c r="C138" s="92">
        <v>7</v>
      </c>
      <c r="D138" s="93" t="s">
        <v>1200</v>
      </c>
      <c r="E138" s="97" t="s">
        <v>136</v>
      </c>
      <c r="F138" s="92" t="s">
        <v>1187</v>
      </c>
      <c r="G138" s="92" t="s">
        <v>29</v>
      </c>
      <c r="H138" s="92" t="s">
        <v>29</v>
      </c>
      <c r="I138" s="115" t="s">
        <v>29</v>
      </c>
      <c r="J138" s="89"/>
      <c r="K138" s="89"/>
      <c r="L138" s="89"/>
      <c r="M138" s="96" t="s">
        <v>921</v>
      </c>
      <c r="N138" s="84"/>
      <c r="O138" s="92" t="s">
        <v>1201</v>
      </c>
      <c r="P138" s="93" t="s">
        <v>1202</v>
      </c>
      <c r="Q138" s="97" t="s">
        <v>342</v>
      </c>
      <c r="R138" s="92" t="s">
        <v>1186</v>
      </c>
      <c r="S138" s="92" t="s">
        <v>29</v>
      </c>
      <c r="T138" s="92" t="s">
        <v>29</v>
      </c>
      <c r="U138" s="115" t="s">
        <v>29</v>
      </c>
    </row>
    <row r="139" spans="1:21" ht="13.2" x14ac:dyDescent="0.25">
      <c r="A139" s="67" t="s">
        <v>919</v>
      </c>
      <c r="B139" s="84"/>
      <c r="C139" s="92">
        <v>8</v>
      </c>
      <c r="D139" s="98" t="s">
        <v>1203</v>
      </c>
      <c r="E139" s="97" t="s">
        <v>404</v>
      </c>
      <c r="F139" s="92" t="s">
        <v>1187</v>
      </c>
      <c r="G139" s="92" t="s">
        <v>29</v>
      </c>
      <c r="H139" s="92" t="s">
        <v>29</v>
      </c>
      <c r="I139" s="115" t="s">
        <v>29</v>
      </c>
      <c r="J139" s="89"/>
      <c r="K139" s="89"/>
      <c r="L139" s="89"/>
      <c r="M139" s="96" t="s">
        <v>921</v>
      </c>
      <c r="N139" s="84"/>
      <c r="O139" s="92" t="s">
        <v>1201</v>
      </c>
      <c r="P139" s="93" t="s">
        <v>1204</v>
      </c>
      <c r="Q139" s="97" t="s">
        <v>342</v>
      </c>
      <c r="R139" s="92" t="s">
        <v>1187</v>
      </c>
      <c r="S139" s="92" t="s">
        <v>29</v>
      </c>
      <c r="T139" s="92" t="s">
        <v>29</v>
      </c>
      <c r="U139" s="115" t="s">
        <v>29</v>
      </c>
    </row>
    <row r="140" spans="1:21" ht="13.2" x14ac:dyDescent="0.25">
      <c r="A140" s="67" t="s">
        <v>919</v>
      </c>
      <c r="B140" s="84"/>
      <c r="C140" s="92">
        <v>9</v>
      </c>
      <c r="D140" s="98" t="s">
        <v>1205</v>
      </c>
      <c r="E140" s="97" t="s">
        <v>400</v>
      </c>
      <c r="F140" s="92" t="s">
        <v>1187</v>
      </c>
      <c r="G140" s="92" t="s">
        <v>29</v>
      </c>
      <c r="H140" s="92" t="s">
        <v>29</v>
      </c>
      <c r="I140" s="115" t="s">
        <v>29</v>
      </c>
      <c r="J140" s="89"/>
      <c r="K140" s="89"/>
      <c r="L140" s="89"/>
      <c r="M140" s="96" t="s">
        <v>921</v>
      </c>
      <c r="N140" s="84"/>
      <c r="O140" s="92">
        <v>9</v>
      </c>
      <c r="P140" s="93" t="s">
        <v>1206</v>
      </c>
      <c r="Q140" s="97" t="s">
        <v>408</v>
      </c>
      <c r="R140" s="92" t="s">
        <v>1187</v>
      </c>
      <c r="S140" s="92" t="s">
        <v>29</v>
      </c>
      <c r="T140" s="92" t="s">
        <v>29</v>
      </c>
      <c r="U140" s="115" t="s">
        <v>29</v>
      </c>
    </row>
    <row r="141" spans="1:21" ht="13.2" x14ac:dyDescent="0.25">
      <c r="A141" s="67" t="s">
        <v>919</v>
      </c>
      <c r="B141" s="84"/>
      <c r="C141" s="92">
        <v>10</v>
      </c>
      <c r="D141" s="98" t="s">
        <v>1207</v>
      </c>
      <c r="E141" s="97" t="s">
        <v>401</v>
      </c>
      <c r="F141" s="92" t="s">
        <v>1187</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919</v>
      </c>
      <c r="B142" s="84"/>
      <c r="C142" s="92" t="s">
        <v>1208</v>
      </c>
      <c r="D142" s="98" t="s">
        <v>1209</v>
      </c>
      <c r="E142" s="97" t="s">
        <v>674</v>
      </c>
      <c r="F142" s="92" t="s">
        <v>1186</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919</v>
      </c>
      <c r="B143" s="84"/>
      <c r="C143" s="92" t="s">
        <v>1208</v>
      </c>
      <c r="D143" s="98" t="s">
        <v>1210</v>
      </c>
      <c r="E143" s="97" t="s">
        <v>674</v>
      </c>
      <c r="F143" s="92" t="s">
        <v>1186</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84"/>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20"/>
      <c r="E157" s="220"/>
      <c r="F157" s="220"/>
      <c r="G157" s="99">
        <v>9</v>
      </c>
      <c r="H157" s="99">
        <v>0</v>
      </c>
      <c r="I157" s="115" t="s">
        <v>29</v>
      </c>
      <c r="J157" s="89"/>
      <c r="K157" s="89"/>
      <c r="L157" s="89"/>
      <c r="M157" s="96" t="s">
        <v>29</v>
      </c>
      <c r="N157" s="84"/>
      <c r="O157" s="219" t="s">
        <v>955</v>
      </c>
      <c r="P157" s="220"/>
      <c r="Q157" s="220"/>
      <c r="R157" s="220"/>
      <c r="S157" s="99">
        <v>5</v>
      </c>
      <c r="T157" s="99">
        <v>4</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1211</v>
      </c>
      <c r="E161" s="94" t="s">
        <v>686</v>
      </c>
      <c r="F161" s="92" t="s">
        <v>1186</v>
      </c>
      <c r="G161" s="92">
        <v>5</v>
      </c>
      <c r="H161" s="92" t="s">
        <v>29</v>
      </c>
      <c r="I161" s="116" t="s">
        <v>29</v>
      </c>
      <c r="J161" s="89"/>
      <c r="K161" s="89"/>
      <c r="L161" s="89"/>
      <c r="M161" s="96" t="s">
        <v>925</v>
      </c>
      <c r="N161" s="108"/>
      <c r="O161" s="92">
        <v>1</v>
      </c>
      <c r="P161" s="93" t="s">
        <v>1212</v>
      </c>
      <c r="Q161" s="94" t="s">
        <v>414</v>
      </c>
      <c r="R161" s="92" t="s">
        <v>1187</v>
      </c>
      <c r="S161" s="92" t="s">
        <v>29</v>
      </c>
      <c r="T161" s="92">
        <v>5</v>
      </c>
      <c r="U161" s="116" t="s">
        <v>29</v>
      </c>
    </row>
    <row r="162" spans="1:21" ht="13.2" x14ac:dyDescent="0.25">
      <c r="A162" s="67" t="s">
        <v>923</v>
      </c>
      <c r="B162" s="108"/>
      <c r="C162" s="92">
        <v>2</v>
      </c>
      <c r="D162" s="93" t="s">
        <v>1213</v>
      </c>
      <c r="E162" s="97" t="s">
        <v>688</v>
      </c>
      <c r="F162" s="92" t="s">
        <v>1186</v>
      </c>
      <c r="G162" s="92">
        <v>3</v>
      </c>
      <c r="H162" s="92" t="s">
        <v>29</v>
      </c>
      <c r="I162" s="116" t="s">
        <v>29</v>
      </c>
      <c r="J162" s="89"/>
      <c r="K162" s="89"/>
      <c r="L162" s="89"/>
      <c r="M162" s="96" t="s">
        <v>925</v>
      </c>
      <c r="N162" s="108"/>
      <c r="O162" s="92">
        <v>2</v>
      </c>
      <c r="P162" s="93" t="s">
        <v>1214</v>
      </c>
      <c r="Q162" s="97" t="s">
        <v>691</v>
      </c>
      <c r="R162" s="92" t="s">
        <v>1186</v>
      </c>
      <c r="S162" s="92">
        <v>3</v>
      </c>
      <c r="T162" s="92" t="s">
        <v>29</v>
      </c>
      <c r="U162" s="116" t="s">
        <v>29</v>
      </c>
    </row>
    <row r="163" spans="1:21" ht="13.2" x14ac:dyDescent="0.25">
      <c r="A163" s="67" t="s">
        <v>923</v>
      </c>
      <c r="B163" s="108"/>
      <c r="C163" s="92">
        <v>3</v>
      </c>
      <c r="D163" s="93" t="s">
        <v>1215</v>
      </c>
      <c r="E163" s="97" t="s">
        <v>685</v>
      </c>
      <c r="F163" s="92" t="s">
        <v>1186</v>
      </c>
      <c r="G163" s="92">
        <v>1</v>
      </c>
      <c r="H163" s="92" t="s">
        <v>29</v>
      </c>
      <c r="I163" s="116" t="s">
        <v>29</v>
      </c>
      <c r="J163" s="89"/>
      <c r="K163" s="89"/>
      <c r="L163" s="89"/>
      <c r="M163" s="96" t="s">
        <v>925</v>
      </c>
      <c r="N163" s="108"/>
      <c r="O163" s="92">
        <v>3</v>
      </c>
      <c r="P163" s="93" t="s">
        <v>1216</v>
      </c>
      <c r="Q163" s="97" t="s">
        <v>480</v>
      </c>
      <c r="R163" s="92" t="s">
        <v>1186</v>
      </c>
      <c r="S163" s="92">
        <v>1</v>
      </c>
      <c r="T163" s="92" t="s">
        <v>29</v>
      </c>
      <c r="U163" s="116" t="s">
        <v>29</v>
      </c>
    </row>
    <row r="164" spans="1:21" ht="13.2" x14ac:dyDescent="0.25">
      <c r="A164" s="67" t="s">
        <v>923</v>
      </c>
      <c r="B164" s="108"/>
      <c r="C164" s="92">
        <v>4</v>
      </c>
      <c r="D164" s="93" t="s">
        <v>1217</v>
      </c>
      <c r="E164" s="97" t="s">
        <v>405</v>
      </c>
      <c r="F164" s="92" t="s">
        <v>1187</v>
      </c>
      <c r="G164" s="92" t="s">
        <v>29</v>
      </c>
      <c r="H164" s="92" t="s">
        <v>29</v>
      </c>
      <c r="I164" s="116" t="s">
        <v>64</v>
      </c>
      <c r="J164" s="89"/>
      <c r="K164" s="89"/>
      <c r="L164" s="89"/>
      <c r="M164" s="96" t="s">
        <v>925</v>
      </c>
      <c r="N164" s="108"/>
      <c r="O164" s="92">
        <v>4</v>
      </c>
      <c r="P164" s="93" t="s">
        <v>1218</v>
      </c>
      <c r="Q164" s="97" t="s">
        <v>689</v>
      </c>
      <c r="R164" s="92" t="s">
        <v>1186</v>
      </c>
      <c r="S164" s="92" t="s">
        <v>29</v>
      </c>
      <c r="T164" s="92" t="s">
        <v>29</v>
      </c>
      <c r="U164" s="116" t="s">
        <v>29</v>
      </c>
    </row>
    <row r="165" spans="1:21" ht="13.2" x14ac:dyDescent="0.25">
      <c r="A165" s="67" t="s">
        <v>923</v>
      </c>
      <c r="B165" s="108"/>
      <c r="C165" s="92">
        <v>5</v>
      </c>
      <c r="D165" s="93" t="s">
        <v>1219</v>
      </c>
      <c r="E165" s="97" t="s">
        <v>399</v>
      </c>
      <c r="F165" s="92" t="s">
        <v>1187</v>
      </c>
      <c r="G165" s="92" t="s">
        <v>29</v>
      </c>
      <c r="H165" s="92" t="s">
        <v>29</v>
      </c>
      <c r="I165" s="116" t="s">
        <v>64</v>
      </c>
      <c r="J165" s="89"/>
      <c r="K165" s="89"/>
      <c r="L165" s="89"/>
      <c r="M165" s="96" t="s">
        <v>925</v>
      </c>
      <c r="N165" s="108"/>
      <c r="O165" s="92">
        <v>5</v>
      </c>
      <c r="P165" s="93" t="s">
        <v>1220</v>
      </c>
      <c r="Q165" s="97" t="s">
        <v>692</v>
      </c>
      <c r="R165" s="92" t="s">
        <v>1186</v>
      </c>
      <c r="S165" s="92" t="s">
        <v>29</v>
      </c>
      <c r="T165" s="92" t="s">
        <v>29</v>
      </c>
      <c r="U165" s="116" t="s">
        <v>29</v>
      </c>
    </row>
    <row r="166" spans="1:21" ht="13.2" x14ac:dyDescent="0.25">
      <c r="A166" s="67" t="s">
        <v>29</v>
      </c>
      <c r="B166" s="108"/>
      <c r="C166" s="92" t="s">
        <v>29</v>
      </c>
      <c r="D166" s="93" t="s">
        <v>29</v>
      </c>
      <c r="E166" s="97" t="s">
        <v>29</v>
      </c>
      <c r="F166" s="92" t="s">
        <v>29</v>
      </c>
      <c r="G166" s="92" t="s">
        <v>29</v>
      </c>
      <c r="H166" s="92" t="s">
        <v>29</v>
      </c>
      <c r="I166" s="116" t="s">
        <v>29</v>
      </c>
      <c r="J166" s="89"/>
      <c r="K166" s="89"/>
      <c r="L166" s="89"/>
      <c r="M166" s="96" t="s">
        <v>925</v>
      </c>
      <c r="N166" s="108"/>
      <c r="O166" s="92">
        <v>6</v>
      </c>
      <c r="P166" s="93" t="s">
        <v>1221</v>
      </c>
      <c r="Q166" s="97" t="s">
        <v>335</v>
      </c>
      <c r="R166" s="92" t="s">
        <v>1187</v>
      </c>
      <c r="S166" s="92" t="s">
        <v>29</v>
      </c>
      <c r="T166" s="92" t="s">
        <v>29</v>
      </c>
      <c r="U166" s="116" t="s">
        <v>29</v>
      </c>
    </row>
    <row r="167" spans="1:21" ht="13.2" x14ac:dyDescent="0.25">
      <c r="A167" s="67" t="s">
        <v>29</v>
      </c>
      <c r="B167" s="108"/>
      <c r="C167" s="92" t="s">
        <v>29</v>
      </c>
      <c r="D167" s="93" t="s">
        <v>29</v>
      </c>
      <c r="E167" s="97" t="s">
        <v>29</v>
      </c>
      <c r="F167" s="92" t="s">
        <v>29</v>
      </c>
      <c r="G167" s="92" t="s">
        <v>29</v>
      </c>
      <c r="H167" s="92" t="s">
        <v>29</v>
      </c>
      <c r="I167" s="116" t="s">
        <v>29</v>
      </c>
      <c r="J167" s="89"/>
      <c r="K167" s="89"/>
      <c r="L167" s="89"/>
      <c r="M167" s="96" t="s">
        <v>925</v>
      </c>
      <c r="N167" s="108"/>
      <c r="O167" s="92">
        <v>7</v>
      </c>
      <c r="P167" s="93" t="s">
        <v>1222</v>
      </c>
      <c r="Q167" s="97" t="s">
        <v>690</v>
      </c>
      <c r="R167" s="92" t="s">
        <v>1186</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20"/>
      <c r="E176" s="220"/>
      <c r="F176" s="222"/>
      <c r="G176" s="99">
        <v>9</v>
      </c>
      <c r="H176" s="99">
        <v>0</v>
      </c>
      <c r="I176" s="116" t="s">
        <v>29</v>
      </c>
      <c r="J176" s="89"/>
      <c r="K176" s="89"/>
      <c r="L176" s="89"/>
      <c r="M176" s="96" t="s">
        <v>29</v>
      </c>
      <c r="N176" s="108"/>
      <c r="O176" s="219" t="s">
        <v>972</v>
      </c>
      <c r="P176" s="220"/>
      <c r="Q176" s="220"/>
      <c r="R176" s="222"/>
      <c r="S176" s="99">
        <v>4</v>
      </c>
      <c r="T176" s="99">
        <v>5</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1223</v>
      </c>
      <c r="E180" s="94" t="s">
        <v>410</v>
      </c>
      <c r="F180" s="92" t="s">
        <v>1187</v>
      </c>
      <c r="G180" s="92" t="s">
        <v>29</v>
      </c>
      <c r="H180" s="92">
        <v>5</v>
      </c>
      <c r="I180" s="115" t="s">
        <v>29</v>
      </c>
      <c r="J180" s="89"/>
      <c r="K180" s="89"/>
      <c r="L180" s="89"/>
      <c r="M180" s="96" t="s">
        <v>929</v>
      </c>
      <c r="N180" s="84"/>
      <c r="O180" s="92">
        <v>1</v>
      </c>
      <c r="P180" s="93" t="s">
        <v>1224</v>
      </c>
      <c r="Q180" s="94" t="s">
        <v>682</v>
      </c>
      <c r="R180" s="92" t="s">
        <v>1186</v>
      </c>
      <c r="S180" s="92">
        <v>5</v>
      </c>
      <c r="T180" s="92" t="s">
        <v>29</v>
      </c>
      <c r="U180" s="115" t="s">
        <v>29</v>
      </c>
    </row>
    <row r="181" spans="1:21" ht="13.2" x14ac:dyDescent="0.25">
      <c r="A181" s="67" t="s">
        <v>927</v>
      </c>
      <c r="B181" s="84"/>
      <c r="C181" s="92">
        <v>2</v>
      </c>
      <c r="D181" s="93" t="s">
        <v>1225</v>
      </c>
      <c r="E181" s="97" t="s">
        <v>687</v>
      </c>
      <c r="F181" s="92" t="s">
        <v>1186</v>
      </c>
      <c r="G181" s="92">
        <v>3</v>
      </c>
      <c r="H181" s="92" t="s">
        <v>29</v>
      </c>
      <c r="I181" s="115" t="s">
        <v>64</v>
      </c>
      <c r="J181" s="89"/>
      <c r="K181" s="89"/>
      <c r="L181" s="89"/>
      <c r="M181" s="96" t="s">
        <v>929</v>
      </c>
      <c r="N181" s="84"/>
      <c r="O181" s="92">
        <v>2</v>
      </c>
      <c r="P181" s="93" t="s">
        <v>1226</v>
      </c>
      <c r="Q181" s="97" t="s">
        <v>413</v>
      </c>
      <c r="R181" s="92" t="s">
        <v>1187</v>
      </c>
      <c r="S181" s="92" t="s">
        <v>29</v>
      </c>
      <c r="T181" s="92">
        <v>3</v>
      </c>
      <c r="U181" s="115" t="s">
        <v>29</v>
      </c>
    </row>
    <row r="182" spans="1:21" ht="13.2" x14ac:dyDescent="0.25">
      <c r="A182" s="67" t="s">
        <v>927</v>
      </c>
      <c r="B182" s="84"/>
      <c r="C182" s="92">
        <v>3</v>
      </c>
      <c r="D182" s="93" t="s">
        <v>1227</v>
      </c>
      <c r="E182" s="97" t="s">
        <v>351</v>
      </c>
      <c r="F182" s="92" t="s">
        <v>1186</v>
      </c>
      <c r="G182" s="92">
        <v>1</v>
      </c>
      <c r="H182" s="92" t="s">
        <v>29</v>
      </c>
      <c r="I182" s="115" t="s">
        <v>29</v>
      </c>
      <c r="J182" s="89"/>
      <c r="K182" s="89"/>
      <c r="L182" s="89"/>
      <c r="M182" s="96" t="s">
        <v>929</v>
      </c>
      <c r="N182" s="84"/>
      <c r="O182" s="92">
        <v>3</v>
      </c>
      <c r="P182" s="93" t="s">
        <v>1228</v>
      </c>
      <c r="Q182" s="97" t="s">
        <v>412</v>
      </c>
      <c r="R182" s="92" t="s">
        <v>1187</v>
      </c>
      <c r="S182" s="92" t="s">
        <v>29</v>
      </c>
      <c r="T182" s="92">
        <v>1</v>
      </c>
      <c r="U182" s="115" t="s">
        <v>29</v>
      </c>
    </row>
    <row r="183" spans="1:21" ht="13.2" x14ac:dyDescent="0.25">
      <c r="A183" s="67" t="s">
        <v>927</v>
      </c>
      <c r="B183" s="84"/>
      <c r="C183" s="92">
        <v>4</v>
      </c>
      <c r="D183" s="93" t="s">
        <v>1229</v>
      </c>
      <c r="E183" s="97" t="s">
        <v>680</v>
      </c>
      <c r="F183" s="92" t="s">
        <v>1186</v>
      </c>
      <c r="G183" s="92" t="s">
        <v>29</v>
      </c>
      <c r="H183" s="92" t="s">
        <v>29</v>
      </c>
      <c r="I183" s="115" t="s">
        <v>29</v>
      </c>
      <c r="J183" s="89"/>
      <c r="K183" s="89"/>
      <c r="L183" s="89"/>
      <c r="M183" s="96" t="s">
        <v>929</v>
      </c>
      <c r="N183" s="84"/>
      <c r="O183" s="92">
        <v>4</v>
      </c>
      <c r="P183" s="93" t="s">
        <v>1230</v>
      </c>
      <c r="Q183" s="97" t="s">
        <v>531</v>
      </c>
      <c r="R183" s="92" t="s">
        <v>1186</v>
      </c>
      <c r="S183" s="92" t="s">
        <v>29</v>
      </c>
      <c r="T183" s="92" t="s">
        <v>29</v>
      </c>
      <c r="U183" s="115" t="s">
        <v>29</v>
      </c>
    </row>
    <row r="184" spans="1:21" ht="13.2" x14ac:dyDescent="0.25">
      <c r="A184" s="67" t="s">
        <v>29</v>
      </c>
      <c r="B184" s="84"/>
      <c r="C184" s="92" t="s">
        <v>29</v>
      </c>
      <c r="D184" s="93" t="s">
        <v>29</v>
      </c>
      <c r="E184" s="97" t="s">
        <v>29</v>
      </c>
      <c r="F184" s="92" t="s">
        <v>29</v>
      </c>
      <c r="G184" s="92" t="s">
        <v>29</v>
      </c>
      <c r="H184" s="92" t="s">
        <v>29</v>
      </c>
      <c r="I184" s="115" t="s">
        <v>29</v>
      </c>
      <c r="J184" s="89"/>
      <c r="K184" s="89"/>
      <c r="L184" s="89"/>
      <c r="M184" s="96" t="s">
        <v>929</v>
      </c>
      <c r="N184" s="84"/>
      <c r="O184" s="92">
        <v>5</v>
      </c>
      <c r="P184" s="93" t="s">
        <v>1231</v>
      </c>
      <c r="Q184" s="97" t="s">
        <v>411</v>
      </c>
      <c r="R184" s="92" t="s">
        <v>1187</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929</v>
      </c>
      <c r="N185" s="84"/>
      <c r="O185" s="92">
        <v>6</v>
      </c>
      <c r="P185" s="93" t="s">
        <v>1232</v>
      </c>
      <c r="Q185" s="97" t="s">
        <v>683</v>
      </c>
      <c r="R185" s="92" t="s">
        <v>1186</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929</v>
      </c>
      <c r="N186" s="84"/>
      <c r="O186" s="92">
        <v>7</v>
      </c>
      <c r="P186" s="93" t="s">
        <v>1233</v>
      </c>
      <c r="Q186" s="97" t="s">
        <v>681</v>
      </c>
      <c r="R186" s="92" t="s">
        <v>1186</v>
      </c>
      <c r="S186" s="92" t="s">
        <v>29</v>
      </c>
      <c r="T186" s="92" t="s">
        <v>29</v>
      </c>
      <c r="U186" s="115" t="s">
        <v>29</v>
      </c>
    </row>
    <row r="187" spans="1:21" ht="13.2" x14ac:dyDescent="0.25">
      <c r="A187" s="67" t="s">
        <v>29</v>
      </c>
      <c r="B187" s="84"/>
      <c r="C187" s="92" t="s">
        <v>29</v>
      </c>
      <c r="D187" s="93" t="s">
        <v>29</v>
      </c>
      <c r="E187" s="97" t="s">
        <v>29</v>
      </c>
      <c r="F187" s="92" t="s">
        <v>29</v>
      </c>
      <c r="G187" s="92" t="s">
        <v>29</v>
      </c>
      <c r="H187" s="92" t="s">
        <v>29</v>
      </c>
      <c r="I187" s="115" t="s">
        <v>29</v>
      </c>
      <c r="J187" s="89"/>
      <c r="K187" s="89"/>
      <c r="L187" s="89"/>
      <c r="M187" s="96" t="s">
        <v>929</v>
      </c>
      <c r="N187" s="84"/>
      <c r="O187" s="92">
        <v>8</v>
      </c>
      <c r="P187" s="93" t="s">
        <v>1234</v>
      </c>
      <c r="Q187" s="97" t="s">
        <v>219</v>
      </c>
      <c r="R187" s="92" t="s">
        <v>1187</v>
      </c>
      <c r="S187" s="92" t="s">
        <v>29</v>
      </c>
      <c r="T187" s="92" t="s">
        <v>29</v>
      </c>
      <c r="U187" s="115" t="s">
        <v>29</v>
      </c>
    </row>
    <row r="188" spans="1:21" ht="13.2" x14ac:dyDescent="0.25">
      <c r="A188" s="67" t="s">
        <v>29</v>
      </c>
      <c r="B188" s="84"/>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84"/>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84"/>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84"/>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20"/>
      <c r="E195" s="220"/>
      <c r="F195" s="220"/>
      <c r="G195" s="99">
        <v>4</v>
      </c>
      <c r="H195" s="99">
        <v>5</v>
      </c>
      <c r="I195" s="115" t="s">
        <v>29</v>
      </c>
      <c r="J195" s="89"/>
      <c r="K195" s="89"/>
      <c r="L195" s="89"/>
      <c r="M195" s="96" t="s">
        <v>29</v>
      </c>
      <c r="N195" s="84"/>
      <c r="O195" s="219" t="s">
        <v>985</v>
      </c>
      <c r="P195" s="220"/>
      <c r="Q195" s="220"/>
      <c r="R195" s="220"/>
      <c r="S195" s="99">
        <v>5</v>
      </c>
      <c r="T195" s="99">
        <v>4</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08"/>
      <c r="C199" s="92">
        <v>1</v>
      </c>
      <c r="D199" s="93" t="s">
        <v>1235</v>
      </c>
      <c r="E199" s="94" t="s">
        <v>695</v>
      </c>
      <c r="F199" s="92" t="s">
        <v>1186</v>
      </c>
      <c r="G199" s="92">
        <v>5</v>
      </c>
      <c r="H199" s="92" t="s">
        <v>29</v>
      </c>
      <c r="I199" s="116" t="s">
        <v>29</v>
      </c>
      <c r="J199" s="89"/>
      <c r="K199" s="89"/>
      <c r="L199" s="89"/>
      <c r="M199" s="96" t="s">
        <v>933</v>
      </c>
      <c r="N199" s="108"/>
      <c r="O199" s="92">
        <v>1</v>
      </c>
      <c r="P199" s="93" t="s">
        <v>1236</v>
      </c>
      <c r="Q199" s="94" t="s">
        <v>416</v>
      </c>
      <c r="R199" s="92" t="s">
        <v>1187</v>
      </c>
      <c r="S199" s="92" t="s">
        <v>29</v>
      </c>
      <c r="T199" s="92">
        <v>5</v>
      </c>
      <c r="U199" s="116" t="s">
        <v>29</v>
      </c>
    </row>
    <row r="200" spans="1:21" ht="13.2" x14ac:dyDescent="0.25">
      <c r="A200" s="67" t="s">
        <v>931</v>
      </c>
      <c r="B200" s="108"/>
      <c r="C200" s="92">
        <v>2</v>
      </c>
      <c r="D200" s="93" t="s">
        <v>1237</v>
      </c>
      <c r="E200" s="97" t="s">
        <v>694</v>
      </c>
      <c r="F200" s="92" t="s">
        <v>1186</v>
      </c>
      <c r="G200" s="92">
        <v>3</v>
      </c>
      <c r="H200" s="92" t="s">
        <v>29</v>
      </c>
      <c r="I200" s="116" t="s">
        <v>29</v>
      </c>
      <c r="J200" s="89"/>
      <c r="K200" s="89"/>
      <c r="L200" s="89"/>
      <c r="M200" s="96" t="s">
        <v>933</v>
      </c>
      <c r="N200" s="108"/>
      <c r="O200" s="92">
        <v>2</v>
      </c>
      <c r="P200" s="93" t="s">
        <v>1238</v>
      </c>
      <c r="Q200" s="97" t="s">
        <v>696</v>
      </c>
      <c r="R200" s="92" t="s">
        <v>1186</v>
      </c>
      <c r="S200" s="92">
        <v>3</v>
      </c>
      <c r="T200" s="92" t="s">
        <v>29</v>
      </c>
      <c r="U200" s="116" t="s">
        <v>29</v>
      </c>
    </row>
    <row r="201" spans="1:21" ht="13.2" x14ac:dyDescent="0.25">
      <c r="A201" s="67" t="s">
        <v>931</v>
      </c>
      <c r="B201" s="108"/>
      <c r="C201" s="92">
        <v>3</v>
      </c>
      <c r="D201" s="93" t="s">
        <v>1239</v>
      </c>
      <c r="E201" s="97" t="s">
        <v>693</v>
      </c>
      <c r="F201" s="92" t="s">
        <v>1186</v>
      </c>
      <c r="G201" s="92">
        <v>1</v>
      </c>
      <c r="H201" s="92" t="s">
        <v>29</v>
      </c>
      <c r="I201" s="116" t="s">
        <v>29</v>
      </c>
      <c r="J201" s="89"/>
      <c r="K201" s="89"/>
      <c r="L201" s="89"/>
      <c r="M201" s="96" t="s">
        <v>933</v>
      </c>
      <c r="N201" s="108"/>
      <c r="O201" s="92">
        <v>3</v>
      </c>
      <c r="P201" s="93" t="s">
        <v>1240</v>
      </c>
      <c r="Q201" s="97" t="s">
        <v>415</v>
      </c>
      <c r="R201" s="92" t="s">
        <v>1187</v>
      </c>
      <c r="S201" s="92" t="s">
        <v>29</v>
      </c>
      <c r="T201" s="92">
        <v>1</v>
      </c>
      <c r="U201" s="116" t="s">
        <v>29</v>
      </c>
    </row>
    <row r="202" spans="1:21" ht="13.2" x14ac:dyDescent="0.25">
      <c r="A202" s="67" t="s">
        <v>29</v>
      </c>
      <c r="B202" s="108"/>
      <c r="C202" s="92" t="s">
        <v>29</v>
      </c>
      <c r="D202" s="93" t="s">
        <v>29</v>
      </c>
      <c r="E202" s="97" t="s">
        <v>29</v>
      </c>
      <c r="F202" s="92" t="s">
        <v>29</v>
      </c>
      <c r="G202" s="92" t="s">
        <v>29</v>
      </c>
      <c r="H202" s="92" t="s">
        <v>29</v>
      </c>
      <c r="I202" s="116" t="s">
        <v>29</v>
      </c>
      <c r="J202" s="89"/>
      <c r="K202" s="89"/>
      <c r="L202" s="89"/>
      <c r="M202" s="96" t="s">
        <v>933</v>
      </c>
      <c r="N202" s="108"/>
      <c r="O202" s="92">
        <v>4</v>
      </c>
      <c r="P202" s="93" t="s">
        <v>1241</v>
      </c>
      <c r="Q202" s="97" t="s">
        <v>684</v>
      </c>
      <c r="R202" s="92" t="s">
        <v>1186</v>
      </c>
      <c r="S202" s="92" t="s">
        <v>29</v>
      </c>
      <c r="T202" s="92" t="s">
        <v>29</v>
      </c>
      <c r="U202" s="116" t="s">
        <v>64</v>
      </c>
    </row>
    <row r="203" spans="1:21" ht="13.2" x14ac:dyDescent="0.25">
      <c r="A203" s="67" t="s">
        <v>29</v>
      </c>
      <c r="B203" s="108"/>
      <c r="C203" s="92" t="s">
        <v>29</v>
      </c>
      <c r="D203" s="93" t="s">
        <v>29</v>
      </c>
      <c r="E203" s="97" t="s">
        <v>29</v>
      </c>
      <c r="F203" s="92" t="s">
        <v>29</v>
      </c>
      <c r="G203" s="92" t="s">
        <v>29</v>
      </c>
      <c r="H203" s="92" t="s">
        <v>29</v>
      </c>
      <c r="I203" s="116" t="s">
        <v>29</v>
      </c>
      <c r="J203" s="89"/>
      <c r="K203" s="89"/>
      <c r="L203" s="89"/>
      <c r="M203" s="96" t="s">
        <v>933</v>
      </c>
      <c r="N203" s="108"/>
      <c r="O203" s="92">
        <v>5</v>
      </c>
      <c r="P203" s="93" t="s">
        <v>1242</v>
      </c>
      <c r="Q203" s="97" t="s">
        <v>29</v>
      </c>
      <c r="R203" s="92" t="s">
        <v>1186</v>
      </c>
      <c r="S203" s="92" t="s">
        <v>29</v>
      </c>
      <c r="T203" s="92" t="s">
        <v>29</v>
      </c>
      <c r="U203" s="116" t="s">
        <v>64</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20"/>
      <c r="E214" s="220"/>
      <c r="F214" s="220"/>
      <c r="G214" s="99">
        <v>9</v>
      </c>
      <c r="H214" s="99">
        <v>0</v>
      </c>
      <c r="I214" s="116" t="s">
        <v>29</v>
      </c>
      <c r="J214" s="89"/>
      <c r="K214" s="89"/>
      <c r="L214" s="89"/>
      <c r="M214" s="96" t="s">
        <v>29</v>
      </c>
      <c r="N214" s="108"/>
      <c r="O214" s="219" t="s">
        <v>996</v>
      </c>
      <c r="P214" s="220"/>
      <c r="Q214" s="220"/>
      <c r="R214" s="220"/>
      <c r="S214" s="99">
        <v>3</v>
      </c>
      <c r="T214" s="99">
        <v>6</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1243</v>
      </c>
      <c r="R216" s="220"/>
      <c r="S216" s="220"/>
      <c r="T216" s="222"/>
      <c r="U216" s="66" t="s">
        <v>29</v>
      </c>
    </row>
    <row r="217" spans="1:21" ht="13.2" x14ac:dyDescent="0.25">
      <c r="A217" s="67"/>
      <c r="B217" s="66"/>
      <c r="C217" s="245" t="s">
        <v>1244</v>
      </c>
      <c r="D217" s="227"/>
      <c r="E217" s="227"/>
      <c r="F217" s="227"/>
      <c r="G217" s="227"/>
      <c r="H217" s="228"/>
      <c r="I217" s="89" t="s">
        <v>29</v>
      </c>
      <c r="J217" s="89"/>
      <c r="K217" s="89"/>
      <c r="L217" s="89"/>
      <c r="M217" s="96"/>
      <c r="N217" s="119"/>
      <c r="O217" s="120" t="s">
        <v>1001</v>
      </c>
      <c r="P217" s="121"/>
      <c r="Q217" s="221" t="s">
        <v>1245</v>
      </c>
      <c r="R217" s="220"/>
      <c r="S217" s="220"/>
      <c r="T217" s="222"/>
      <c r="U217" s="66" t="s">
        <v>29</v>
      </c>
    </row>
    <row r="218" spans="1:21" ht="13.2" x14ac:dyDescent="0.25">
      <c r="A218" s="67"/>
      <c r="B218" s="66"/>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B219" s="66"/>
      <c r="C219" s="118" t="s">
        <v>1003</v>
      </c>
      <c r="D219" s="122"/>
      <c r="E219" s="225" t="s">
        <v>1245</v>
      </c>
      <c r="F219" s="220"/>
      <c r="G219" s="220"/>
      <c r="H219" s="222"/>
      <c r="I219" s="89" t="s">
        <v>29</v>
      </c>
      <c r="J219" s="89"/>
      <c r="K219" s="89"/>
      <c r="L219" s="89"/>
      <c r="M219" s="96"/>
      <c r="N219" s="119"/>
      <c r="O219" s="118" t="s">
        <v>1004</v>
      </c>
      <c r="P219" s="122"/>
      <c r="Q219" s="225" t="s">
        <v>1246</v>
      </c>
      <c r="R219" s="220"/>
      <c r="S219" s="220"/>
      <c r="T219" s="222"/>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27"/>
      <c r="E221" s="227"/>
      <c r="F221" s="227"/>
      <c r="G221" s="227"/>
      <c r="H221" s="228"/>
      <c r="I221" s="66" t="s">
        <v>29</v>
      </c>
      <c r="J221" s="66"/>
      <c r="K221" s="66"/>
      <c r="L221" s="66"/>
      <c r="M221" s="74"/>
      <c r="N221" s="123"/>
      <c r="O221" s="242"/>
      <c r="P221" s="227"/>
      <c r="Q221" s="227"/>
      <c r="R221" s="227"/>
      <c r="S221" s="227"/>
      <c r="T221" s="228"/>
      <c r="U221" s="66" t="s">
        <v>29</v>
      </c>
    </row>
    <row r="222" spans="1:21" ht="13.2" x14ac:dyDescent="0.25">
      <c r="A222" s="67"/>
      <c r="B222" s="66"/>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B223" s="66"/>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B224" s="66"/>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220"/>
      <c r="E229" s="271" t="s">
        <v>872</v>
      </c>
      <c r="F229" s="220"/>
      <c r="G229" s="222"/>
      <c r="H229" s="150" t="s">
        <v>1247</v>
      </c>
      <c r="I229" s="151" t="s">
        <v>29</v>
      </c>
      <c r="J229" s="152"/>
      <c r="K229" s="152"/>
      <c r="L229" s="152"/>
      <c r="M229" s="153"/>
      <c r="N229" s="64"/>
      <c r="O229" s="236" t="s">
        <v>860</v>
      </c>
      <c r="P229" s="220"/>
      <c r="Q229" s="261" t="s">
        <v>873</v>
      </c>
      <c r="R229" s="220"/>
      <c r="S229" s="222"/>
      <c r="T229" s="154" t="s">
        <v>1248</v>
      </c>
      <c r="U229" s="155" t="s">
        <v>29</v>
      </c>
    </row>
    <row r="230" spans="1:21" ht="17.399999999999999" x14ac:dyDescent="0.25">
      <c r="A230" s="67"/>
      <c r="B230" s="156"/>
      <c r="C230" s="265" t="s">
        <v>2</v>
      </c>
      <c r="D230" s="222"/>
      <c r="E230" s="266">
        <v>43</v>
      </c>
      <c r="F230" s="220"/>
      <c r="G230" s="220"/>
      <c r="H230" s="157"/>
      <c r="I230" s="151" t="s">
        <v>29</v>
      </c>
      <c r="J230" s="158"/>
      <c r="K230" s="158"/>
      <c r="L230" s="158"/>
      <c r="M230" s="159"/>
      <c r="N230" s="64"/>
      <c r="O230" s="262" t="s">
        <v>2</v>
      </c>
      <c r="P230" s="222"/>
      <c r="Q230" s="263">
        <v>28</v>
      </c>
      <c r="R230" s="220"/>
      <c r="S230" s="220"/>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B233" s="66"/>
      <c r="C233" s="68" t="s">
        <v>919</v>
      </c>
      <c r="D233" s="161" t="s">
        <v>920</v>
      </c>
      <c r="E233" s="68"/>
      <c r="F233" s="68"/>
      <c r="G233" s="78">
        <v>8</v>
      </c>
      <c r="H233" s="79">
        <v>1</v>
      </c>
      <c r="I233" s="66" t="s">
        <v>29</v>
      </c>
      <c r="J233" s="66"/>
      <c r="K233" s="66"/>
      <c r="L233" s="66"/>
      <c r="M233" s="74"/>
      <c r="N233" s="66"/>
      <c r="O233" s="68" t="s">
        <v>921</v>
      </c>
      <c r="P233" s="161" t="s">
        <v>922</v>
      </c>
      <c r="Q233" s="68"/>
      <c r="R233" s="68"/>
      <c r="S233" s="78">
        <v>6</v>
      </c>
      <c r="T233" s="79">
        <v>3</v>
      </c>
      <c r="U233" s="66" t="s">
        <v>29</v>
      </c>
    </row>
    <row r="234" spans="1:21" ht="13.2" x14ac:dyDescent="0.25">
      <c r="A234" s="67"/>
      <c r="B234" s="66"/>
      <c r="C234" s="68" t="s">
        <v>923</v>
      </c>
      <c r="D234" s="161" t="s">
        <v>924</v>
      </c>
      <c r="E234" s="68"/>
      <c r="F234" s="68"/>
      <c r="G234" s="78">
        <v>3</v>
      </c>
      <c r="H234" s="79">
        <v>6</v>
      </c>
      <c r="I234" s="66" t="s">
        <v>29</v>
      </c>
      <c r="J234" s="66"/>
      <c r="K234" s="66"/>
      <c r="L234" s="66"/>
      <c r="M234" s="74"/>
      <c r="N234" s="66"/>
      <c r="O234" s="68" t="s">
        <v>925</v>
      </c>
      <c r="P234" s="161" t="s">
        <v>926</v>
      </c>
      <c r="Q234" s="68"/>
      <c r="R234" s="68"/>
      <c r="S234" s="78">
        <v>3</v>
      </c>
      <c r="T234" s="79">
        <v>6</v>
      </c>
      <c r="U234" s="66" t="s">
        <v>29</v>
      </c>
    </row>
    <row r="235" spans="1:21" ht="13.2" x14ac:dyDescent="0.25">
      <c r="A235" s="67"/>
      <c r="B235" s="66"/>
      <c r="C235" s="68" t="s">
        <v>927</v>
      </c>
      <c r="D235" s="161" t="s">
        <v>928</v>
      </c>
      <c r="E235" s="68"/>
      <c r="F235" s="68"/>
      <c r="G235" s="78">
        <v>5</v>
      </c>
      <c r="H235" s="79">
        <v>3</v>
      </c>
      <c r="I235" s="66" t="s">
        <v>29</v>
      </c>
      <c r="J235" s="66"/>
      <c r="K235" s="66"/>
      <c r="L235" s="66"/>
      <c r="M235" s="74"/>
      <c r="N235" s="66"/>
      <c r="O235" s="68" t="s">
        <v>929</v>
      </c>
      <c r="P235" s="161" t="s">
        <v>930</v>
      </c>
      <c r="Q235" s="68"/>
      <c r="R235" s="68"/>
      <c r="S235" s="78">
        <v>4</v>
      </c>
      <c r="T235" s="79">
        <v>5</v>
      </c>
      <c r="U235" s="66" t="s">
        <v>29</v>
      </c>
    </row>
    <row r="236" spans="1:21" ht="13.2" x14ac:dyDescent="0.25">
      <c r="A236" s="67"/>
      <c r="B236" s="66"/>
      <c r="C236" s="68" t="s">
        <v>931</v>
      </c>
      <c r="D236" s="161" t="s">
        <v>932</v>
      </c>
      <c r="E236" s="68"/>
      <c r="F236" s="68"/>
      <c r="G236" s="78">
        <v>9</v>
      </c>
      <c r="H236" s="79">
        <v>0</v>
      </c>
      <c r="I236" s="66" t="s">
        <v>29</v>
      </c>
      <c r="J236" s="66"/>
      <c r="K236" s="66"/>
      <c r="L236" s="66"/>
      <c r="M236" s="74"/>
      <c r="N236" s="66"/>
      <c r="O236" s="68" t="s">
        <v>933</v>
      </c>
      <c r="P236" s="161" t="s">
        <v>934</v>
      </c>
      <c r="Q236" s="68"/>
      <c r="R236" s="68"/>
      <c r="S236" s="78">
        <v>5</v>
      </c>
      <c r="T236" s="79">
        <v>4</v>
      </c>
      <c r="U236" s="66" t="s">
        <v>29</v>
      </c>
    </row>
    <row r="237" spans="1:21" ht="13.2" x14ac:dyDescent="0.25">
      <c r="A237" s="67"/>
      <c r="B237" s="66"/>
      <c r="C237" s="80"/>
      <c r="D237" s="162" t="s">
        <v>935</v>
      </c>
      <c r="E237" s="162"/>
      <c r="F237" s="162"/>
      <c r="G237" s="72">
        <v>25</v>
      </c>
      <c r="H237" s="73">
        <v>10</v>
      </c>
      <c r="I237" s="66" t="s">
        <v>29</v>
      </c>
      <c r="J237" s="66"/>
      <c r="K237" s="66"/>
      <c r="L237" s="66"/>
      <c r="M237" s="74"/>
      <c r="N237" s="66"/>
      <c r="O237" s="80"/>
      <c r="P237" s="162" t="s">
        <v>935</v>
      </c>
      <c r="Q237" s="162"/>
      <c r="R237" s="162"/>
      <c r="S237" s="72">
        <v>18</v>
      </c>
      <c r="T237" s="73">
        <v>18</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13.2" x14ac:dyDescent="0.25">
      <c r="A242" s="67" t="s">
        <v>919</v>
      </c>
      <c r="B242" s="84"/>
      <c r="C242" s="92">
        <v>1</v>
      </c>
      <c r="D242" s="93" t="s">
        <v>1249</v>
      </c>
      <c r="E242" s="94" t="s">
        <v>740</v>
      </c>
      <c r="F242" s="92" t="s">
        <v>1247</v>
      </c>
      <c r="G242" s="92">
        <v>5</v>
      </c>
      <c r="H242" s="92" t="s">
        <v>29</v>
      </c>
      <c r="I242" s="115" t="s">
        <v>29</v>
      </c>
      <c r="J242" s="89"/>
      <c r="K242" s="89"/>
      <c r="L242" s="89"/>
      <c r="M242" s="96" t="s">
        <v>921</v>
      </c>
      <c r="N242" s="84"/>
      <c r="O242" s="92">
        <v>1</v>
      </c>
      <c r="P242" s="93" t="s">
        <v>1250</v>
      </c>
      <c r="Q242" s="94" t="s">
        <v>741</v>
      </c>
      <c r="R242" s="92" t="s">
        <v>1247</v>
      </c>
      <c r="S242" s="92">
        <v>5</v>
      </c>
      <c r="T242" s="92" t="s">
        <v>29</v>
      </c>
      <c r="U242" s="115" t="s">
        <v>29</v>
      </c>
    </row>
    <row r="243" spans="1:21" ht="13.2" x14ac:dyDescent="0.25">
      <c r="A243" s="67" t="s">
        <v>919</v>
      </c>
      <c r="B243" s="84"/>
      <c r="C243" s="92">
        <v>2</v>
      </c>
      <c r="D243" s="93" t="s">
        <v>1251</v>
      </c>
      <c r="E243" s="97" t="s">
        <v>736</v>
      </c>
      <c r="F243" s="92" t="s">
        <v>1247</v>
      </c>
      <c r="G243" s="92">
        <v>3</v>
      </c>
      <c r="H243" s="92" t="s">
        <v>29</v>
      </c>
      <c r="I243" s="115" t="s">
        <v>29</v>
      </c>
      <c r="J243" s="89"/>
      <c r="K243" s="89"/>
      <c r="L243" s="89"/>
      <c r="M243" s="96" t="s">
        <v>921</v>
      </c>
      <c r="N243" s="84"/>
      <c r="O243" s="92">
        <v>2</v>
      </c>
      <c r="P243" s="93" t="s">
        <v>1252</v>
      </c>
      <c r="Q243" s="97" t="s">
        <v>166</v>
      </c>
      <c r="R243" s="92" t="s">
        <v>1248</v>
      </c>
      <c r="S243" s="92" t="s">
        <v>29</v>
      </c>
      <c r="T243" s="92">
        <v>3</v>
      </c>
      <c r="U243" s="115" t="s">
        <v>29</v>
      </c>
    </row>
    <row r="244" spans="1:21" ht="13.2" x14ac:dyDescent="0.25">
      <c r="A244" s="67" t="s">
        <v>919</v>
      </c>
      <c r="B244" s="84"/>
      <c r="C244" s="92">
        <v>3</v>
      </c>
      <c r="D244" s="93" t="s">
        <v>1253</v>
      </c>
      <c r="E244" s="97" t="s">
        <v>140</v>
      </c>
      <c r="F244" s="92" t="s">
        <v>1248</v>
      </c>
      <c r="G244" s="92" t="s">
        <v>29</v>
      </c>
      <c r="H244" s="92">
        <v>1</v>
      </c>
      <c r="I244" s="115" t="s">
        <v>29</v>
      </c>
      <c r="J244" s="89"/>
      <c r="K244" s="89"/>
      <c r="L244" s="89"/>
      <c r="M244" s="96" t="s">
        <v>921</v>
      </c>
      <c r="N244" s="84"/>
      <c r="O244" s="92">
        <v>3</v>
      </c>
      <c r="P244" s="93" t="s">
        <v>1254</v>
      </c>
      <c r="Q244" s="97" t="s">
        <v>745</v>
      </c>
      <c r="R244" s="92" t="s">
        <v>1247</v>
      </c>
      <c r="S244" s="92">
        <v>1</v>
      </c>
      <c r="T244" s="92" t="s">
        <v>29</v>
      </c>
      <c r="U244" s="115" t="s">
        <v>29</v>
      </c>
    </row>
    <row r="245" spans="1:21" ht="13.2" x14ac:dyDescent="0.25">
      <c r="A245" s="67" t="s">
        <v>919</v>
      </c>
      <c r="B245" s="84"/>
      <c r="C245" s="92">
        <v>4</v>
      </c>
      <c r="D245" s="93" t="s">
        <v>1255</v>
      </c>
      <c r="E245" s="97" t="s">
        <v>196</v>
      </c>
      <c r="F245" s="92" t="s">
        <v>1247</v>
      </c>
      <c r="G245" s="92" t="s">
        <v>29</v>
      </c>
      <c r="H245" s="92" t="s">
        <v>29</v>
      </c>
      <c r="I245" s="115" t="s">
        <v>29</v>
      </c>
      <c r="J245" s="89"/>
      <c r="K245" s="89"/>
      <c r="L245" s="89"/>
      <c r="M245" s="96" t="s">
        <v>921</v>
      </c>
      <c r="N245" s="84"/>
      <c r="O245" s="92">
        <v>4</v>
      </c>
      <c r="P245" s="93" t="s">
        <v>1256</v>
      </c>
      <c r="Q245" s="97" t="s">
        <v>746</v>
      </c>
      <c r="R245" s="92" t="s">
        <v>1247</v>
      </c>
      <c r="S245" s="92" t="s">
        <v>29</v>
      </c>
      <c r="T245" s="92" t="s">
        <v>29</v>
      </c>
      <c r="U245" s="115" t="s">
        <v>29</v>
      </c>
    </row>
    <row r="246" spans="1:21" ht="13.2" x14ac:dyDescent="0.25">
      <c r="A246" s="67" t="s">
        <v>919</v>
      </c>
      <c r="B246" s="84"/>
      <c r="C246" s="92">
        <v>5</v>
      </c>
      <c r="D246" s="93" t="s">
        <v>1257</v>
      </c>
      <c r="E246" s="97" t="s">
        <v>162</v>
      </c>
      <c r="F246" s="92" t="s">
        <v>1248</v>
      </c>
      <c r="G246" s="92" t="s">
        <v>29</v>
      </c>
      <c r="H246" s="92" t="s">
        <v>29</v>
      </c>
      <c r="I246" s="115" t="s">
        <v>29</v>
      </c>
      <c r="J246" s="89"/>
      <c r="K246" s="89"/>
      <c r="L246" s="89"/>
      <c r="M246" s="96" t="s">
        <v>921</v>
      </c>
      <c r="N246" s="84"/>
      <c r="O246" s="92">
        <v>5</v>
      </c>
      <c r="P246" s="93" t="s">
        <v>1258</v>
      </c>
      <c r="Q246" s="97" t="s">
        <v>742</v>
      </c>
      <c r="R246" s="92" t="s">
        <v>1247</v>
      </c>
      <c r="S246" s="92" t="s">
        <v>29</v>
      </c>
      <c r="T246" s="92" t="s">
        <v>29</v>
      </c>
      <c r="U246" s="115" t="s">
        <v>29</v>
      </c>
    </row>
    <row r="247" spans="1:21" ht="13.2" x14ac:dyDescent="0.25">
      <c r="A247" s="67" t="s">
        <v>919</v>
      </c>
      <c r="B247" s="84"/>
      <c r="C247" s="92">
        <v>6</v>
      </c>
      <c r="D247" s="93" t="s">
        <v>1259</v>
      </c>
      <c r="E247" s="97" t="s">
        <v>161</v>
      </c>
      <c r="F247" s="92" t="s">
        <v>1248</v>
      </c>
      <c r="G247" s="92" t="s">
        <v>29</v>
      </c>
      <c r="H247" s="92" t="s">
        <v>29</v>
      </c>
      <c r="I247" s="115" t="s">
        <v>29</v>
      </c>
      <c r="J247" s="89"/>
      <c r="K247" s="89"/>
      <c r="L247" s="89"/>
      <c r="M247" s="96" t="s">
        <v>921</v>
      </c>
      <c r="N247" s="84"/>
      <c r="O247" s="92">
        <v>6</v>
      </c>
      <c r="P247" s="93" t="s">
        <v>1260</v>
      </c>
      <c r="Q247" s="97" t="s">
        <v>164</v>
      </c>
      <c r="R247" s="92" t="s">
        <v>1248</v>
      </c>
      <c r="S247" s="92" t="s">
        <v>29</v>
      </c>
      <c r="T247" s="92" t="s">
        <v>29</v>
      </c>
      <c r="U247" s="115" t="s">
        <v>29</v>
      </c>
    </row>
    <row r="248" spans="1:21" ht="13.2" x14ac:dyDescent="0.25">
      <c r="A248" s="67" t="s">
        <v>919</v>
      </c>
      <c r="B248" s="84"/>
      <c r="C248" s="92">
        <v>7</v>
      </c>
      <c r="D248" s="93" t="s">
        <v>1261</v>
      </c>
      <c r="E248" s="97" t="s">
        <v>738</v>
      </c>
      <c r="F248" s="92" t="s">
        <v>1247</v>
      </c>
      <c r="G248" s="92" t="s">
        <v>29</v>
      </c>
      <c r="H248" s="92" t="s">
        <v>29</v>
      </c>
      <c r="I248" s="115" t="s">
        <v>29</v>
      </c>
      <c r="J248" s="89"/>
      <c r="K248" s="89"/>
      <c r="L248" s="89"/>
      <c r="M248" s="96" t="s">
        <v>921</v>
      </c>
      <c r="N248" s="84"/>
      <c r="O248" s="92">
        <v>7</v>
      </c>
      <c r="P248" s="93" t="s">
        <v>1262</v>
      </c>
      <c r="Q248" s="97" t="s">
        <v>163</v>
      </c>
      <c r="R248" s="92" t="s">
        <v>1248</v>
      </c>
      <c r="S248" s="92" t="s">
        <v>29</v>
      </c>
      <c r="T248" s="92" t="s">
        <v>29</v>
      </c>
      <c r="U248" s="115" t="s">
        <v>29</v>
      </c>
    </row>
    <row r="249" spans="1:21" ht="13.2" x14ac:dyDescent="0.25">
      <c r="A249" s="67" t="s">
        <v>919</v>
      </c>
      <c r="B249" s="84"/>
      <c r="C249" s="92">
        <v>8</v>
      </c>
      <c r="D249" s="98" t="s">
        <v>1263</v>
      </c>
      <c r="E249" s="97" t="s">
        <v>739</v>
      </c>
      <c r="F249" s="92" t="s">
        <v>1247</v>
      </c>
      <c r="G249" s="92" t="s">
        <v>29</v>
      </c>
      <c r="H249" s="92" t="s">
        <v>29</v>
      </c>
      <c r="I249" s="115" t="s">
        <v>29</v>
      </c>
      <c r="J249" s="89"/>
      <c r="K249" s="89"/>
      <c r="L249" s="89"/>
      <c r="M249" s="96" t="s">
        <v>921</v>
      </c>
      <c r="N249" s="84"/>
      <c r="O249" s="92">
        <v>8</v>
      </c>
      <c r="P249" s="93" t="s">
        <v>1264</v>
      </c>
      <c r="Q249" s="97" t="s">
        <v>744</v>
      </c>
      <c r="R249" s="92" t="s">
        <v>1247</v>
      </c>
      <c r="S249" s="92" t="s">
        <v>29</v>
      </c>
      <c r="T249" s="92" t="s">
        <v>29</v>
      </c>
      <c r="U249" s="115" t="s">
        <v>29</v>
      </c>
    </row>
    <row r="250" spans="1:21" ht="13.2" x14ac:dyDescent="0.25">
      <c r="A250" s="67" t="s">
        <v>919</v>
      </c>
      <c r="B250" s="84"/>
      <c r="C250" s="92">
        <v>9</v>
      </c>
      <c r="D250" s="98" t="s">
        <v>1265</v>
      </c>
      <c r="E250" s="97" t="s">
        <v>737</v>
      </c>
      <c r="F250" s="92" t="s">
        <v>1247</v>
      </c>
      <c r="G250" s="92" t="s">
        <v>29</v>
      </c>
      <c r="H250" s="92" t="s">
        <v>29</v>
      </c>
      <c r="I250" s="115" t="s">
        <v>29</v>
      </c>
      <c r="J250" s="89"/>
      <c r="K250" s="89"/>
      <c r="L250" s="89"/>
      <c r="M250" s="96" t="s">
        <v>921</v>
      </c>
      <c r="N250" s="84"/>
      <c r="O250" s="92">
        <v>9</v>
      </c>
      <c r="P250" s="93" t="s">
        <v>1266</v>
      </c>
      <c r="Q250" s="97" t="s">
        <v>743</v>
      </c>
      <c r="R250" s="92" t="s">
        <v>1247</v>
      </c>
      <c r="S250" s="92" t="s">
        <v>29</v>
      </c>
      <c r="T250" s="92" t="s">
        <v>29</v>
      </c>
      <c r="U250" s="115" t="s">
        <v>29</v>
      </c>
    </row>
    <row r="251" spans="1:21" ht="13.2" x14ac:dyDescent="0.25">
      <c r="A251" s="67" t="s">
        <v>29</v>
      </c>
      <c r="B251" s="84"/>
      <c r="C251" s="92" t="s">
        <v>29</v>
      </c>
      <c r="D251" s="98" t="s">
        <v>29</v>
      </c>
      <c r="E251" s="97" t="s">
        <v>29</v>
      </c>
      <c r="F251" s="92" t="s">
        <v>29</v>
      </c>
      <c r="G251" s="92" t="s">
        <v>29</v>
      </c>
      <c r="H251" s="92" t="s">
        <v>29</v>
      </c>
      <c r="I251" s="115" t="s">
        <v>29</v>
      </c>
      <c r="J251" s="89"/>
      <c r="K251" s="89"/>
      <c r="L251" s="89"/>
      <c r="M251" s="96" t="s">
        <v>921</v>
      </c>
      <c r="N251" s="84"/>
      <c r="O251" s="92">
        <v>10</v>
      </c>
      <c r="P251" s="93" t="s">
        <v>1267</v>
      </c>
      <c r="Q251" s="97" t="s">
        <v>165</v>
      </c>
      <c r="R251" s="92" t="s">
        <v>1248</v>
      </c>
      <c r="S251" s="92" t="s">
        <v>29</v>
      </c>
      <c r="T251" s="92" t="s">
        <v>29</v>
      </c>
      <c r="U251" s="115" t="s">
        <v>29</v>
      </c>
    </row>
    <row r="252" spans="1:21" ht="13.2" x14ac:dyDescent="0.25">
      <c r="A252" s="67" t="s">
        <v>29</v>
      </c>
      <c r="B252" s="84"/>
      <c r="C252" s="92" t="s">
        <v>29</v>
      </c>
      <c r="D252" s="98" t="s">
        <v>29</v>
      </c>
      <c r="E252" s="97" t="s">
        <v>29</v>
      </c>
      <c r="F252" s="92" t="s">
        <v>29</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29</v>
      </c>
      <c r="B253" s="84"/>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20"/>
      <c r="E267" s="220"/>
      <c r="F267" s="220"/>
      <c r="G267" s="99">
        <v>8</v>
      </c>
      <c r="H267" s="99">
        <v>1</v>
      </c>
      <c r="I267" s="115" t="s">
        <v>29</v>
      </c>
      <c r="J267" s="89"/>
      <c r="K267" s="89"/>
      <c r="L267" s="89"/>
      <c r="M267" s="96" t="s">
        <v>29</v>
      </c>
      <c r="N267" s="84"/>
      <c r="O267" s="219" t="s">
        <v>955</v>
      </c>
      <c r="P267" s="220"/>
      <c r="Q267" s="220"/>
      <c r="R267" s="220"/>
      <c r="S267" s="99">
        <v>6</v>
      </c>
      <c r="T267" s="99">
        <v>3</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08"/>
      <c r="C271" s="92">
        <v>1</v>
      </c>
      <c r="D271" s="93" t="s">
        <v>1268</v>
      </c>
      <c r="E271" s="94" t="s">
        <v>170</v>
      </c>
      <c r="F271" s="92" t="s">
        <v>1248</v>
      </c>
      <c r="G271" s="92" t="s">
        <v>29</v>
      </c>
      <c r="H271" s="92">
        <v>5</v>
      </c>
      <c r="I271" s="116" t="s">
        <v>29</v>
      </c>
      <c r="J271" s="89"/>
      <c r="K271" s="89"/>
      <c r="L271" s="89"/>
      <c r="M271" s="96" t="s">
        <v>925</v>
      </c>
      <c r="N271" s="108"/>
      <c r="O271" s="92">
        <v>1</v>
      </c>
      <c r="P271" s="93" t="s">
        <v>1269</v>
      </c>
      <c r="Q271" s="94" t="s">
        <v>174</v>
      </c>
      <c r="R271" s="92" t="s">
        <v>1248</v>
      </c>
      <c r="S271" s="92" t="s">
        <v>29</v>
      </c>
      <c r="T271" s="92">
        <v>5</v>
      </c>
      <c r="U271" s="116" t="s">
        <v>29</v>
      </c>
    </row>
    <row r="272" spans="1:21" ht="13.2" x14ac:dyDescent="0.25">
      <c r="A272" s="67" t="s">
        <v>923</v>
      </c>
      <c r="B272" s="108"/>
      <c r="C272" s="92">
        <v>2</v>
      </c>
      <c r="D272" s="93" t="s">
        <v>1270</v>
      </c>
      <c r="E272" s="97" t="s">
        <v>751</v>
      </c>
      <c r="F272" s="92" t="s">
        <v>1247</v>
      </c>
      <c r="G272" s="92">
        <v>3</v>
      </c>
      <c r="H272" s="92" t="s">
        <v>29</v>
      </c>
      <c r="I272" s="116" t="s">
        <v>29</v>
      </c>
      <c r="J272" s="89"/>
      <c r="K272" s="89"/>
      <c r="L272" s="89"/>
      <c r="M272" s="96" t="s">
        <v>925</v>
      </c>
      <c r="N272" s="108"/>
      <c r="O272" s="92">
        <v>2</v>
      </c>
      <c r="P272" s="93" t="s">
        <v>1271</v>
      </c>
      <c r="Q272" s="97" t="s">
        <v>754</v>
      </c>
      <c r="R272" s="92" t="s">
        <v>1247</v>
      </c>
      <c r="S272" s="92">
        <v>3</v>
      </c>
      <c r="T272" s="92" t="s">
        <v>29</v>
      </c>
      <c r="U272" s="116" t="s">
        <v>29</v>
      </c>
    </row>
    <row r="273" spans="1:21" ht="13.2" x14ac:dyDescent="0.25">
      <c r="A273" s="67" t="s">
        <v>923</v>
      </c>
      <c r="B273" s="108"/>
      <c r="C273" s="92">
        <v>3</v>
      </c>
      <c r="D273" s="93" t="s">
        <v>1272</v>
      </c>
      <c r="E273" s="97" t="s">
        <v>169</v>
      </c>
      <c r="F273" s="92" t="s">
        <v>1248</v>
      </c>
      <c r="G273" s="92" t="s">
        <v>29</v>
      </c>
      <c r="H273" s="92">
        <v>1</v>
      </c>
      <c r="I273" s="116" t="s">
        <v>29</v>
      </c>
      <c r="J273" s="89"/>
      <c r="K273" s="89"/>
      <c r="L273" s="89"/>
      <c r="M273" s="96" t="s">
        <v>925</v>
      </c>
      <c r="N273" s="108"/>
      <c r="O273" s="92">
        <v>3</v>
      </c>
      <c r="P273" s="93" t="s">
        <v>1273</v>
      </c>
      <c r="Q273" s="97" t="s">
        <v>171</v>
      </c>
      <c r="R273" s="92" t="s">
        <v>1248</v>
      </c>
      <c r="S273" s="92" t="s">
        <v>29</v>
      </c>
      <c r="T273" s="92">
        <v>1</v>
      </c>
      <c r="U273" s="116" t="s">
        <v>29</v>
      </c>
    </row>
    <row r="274" spans="1:21" ht="13.2" x14ac:dyDescent="0.25">
      <c r="A274" s="67" t="s">
        <v>923</v>
      </c>
      <c r="B274" s="108"/>
      <c r="C274" s="92">
        <v>4</v>
      </c>
      <c r="D274" s="93" t="s">
        <v>1274</v>
      </c>
      <c r="E274" s="97" t="s">
        <v>750</v>
      </c>
      <c r="F274" s="92" t="s">
        <v>1247</v>
      </c>
      <c r="G274" s="92" t="s">
        <v>29</v>
      </c>
      <c r="H274" s="92" t="s">
        <v>29</v>
      </c>
      <c r="I274" s="116" t="s">
        <v>29</v>
      </c>
      <c r="J274" s="89"/>
      <c r="K274" s="89"/>
      <c r="L274" s="89"/>
      <c r="M274" s="96" t="s">
        <v>925</v>
      </c>
      <c r="N274" s="108"/>
      <c r="O274" s="92">
        <v>4</v>
      </c>
      <c r="P274" s="93" t="s">
        <v>1275</v>
      </c>
      <c r="Q274" s="97" t="s">
        <v>172</v>
      </c>
      <c r="R274" s="92" t="s">
        <v>1248</v>
      </c>
      <c r="S274" s="92" t="s">
        <v>29</v>
      </c>
      <c r="T274" s="92" t="s">
        <v>29</v>
      </c>
      <c r="U274" s="116" t="s">
        <v>29</v>
      </c>
    </row>
    <row r="275" spans="1:21" ht="13.2" x14ac:dyDescent="0.25">
      <c r="A275" s="67" t="s">
        <v>923</v>
      </c>
      <c r="B275" s="108"/>
      <c r="C275" s="92">
        <v>5</v>
      </c>
      <c r="D275" s="93" t="s">
        <v>1276</v>
      </c>
      <c r="E275" s="97" t="s">
        <v>533</v>
      </c>
      <c r="F275" s="92" t="s">
        <v>1247</v>
      </c>
      <c r="G275" s="92" t="s">
        <v>29</v>
      </c>
      <c r="H275" s="92" t="s">
        <v>29</v>
      </c>
      <c r="I275" s="116" t="s">
        <v>29</v>
      </c>
      <c r="J275" s="89"/>
      <c r="K275" s="89"/>
      <c r="L275" s="89"/>
      <c r="M275" s="96" t="s">
        <v>925</v>
      </c>
      <c r="N275" s="108"/>
      <c r="O275" s="92">
        <v>5</v>
      </c>
      <c r="P275" s="93" t="s">
        <v>1277</v>
      </c>
      <c r="Q275" s="97" t="s">
        <v>755</v>
      </c>
      <c r="R275" s="92" t="s">
        <v>1247</v>
      </c>
      <c r="S275" s="92" t="s">
        <v>29</v>
      </c>
      <c r="T275" s="92" t="s">
        <v>29</v>
      </c>
      <c r="U275" s="116" t="s">
        <v>29</v>
      </c>
    </row>
    <row r="276" spans="1:21" ht="13.2" x14ac:dyDescent="0.25">
      <c r="A276" s="67" t="s">
        <v>923</v>
      </c>
      <c r="B276" s="108"/>
      <c r="C276" s="92">
        <v>6</v>
      </c>
      <c r="D276" s="93" t="s">
        <v>1278</v>
      </c>
      <c r="E276" s="97" t="s">
        <v>749</v>
      </c>
      <c r="F276" s="92" t="s">
        <v>1247</v>
      </c>
      <c r="G276" s="92" t="s">
        <v>29</v>
      </c>
      <c r="H276" s="92" t="s">
        <v>29</v>
      </c>
      <c r="I276" s="116" t="s">
        <v>29</v>
      </c>
      <c r="J276" s="89"/>
      <c r="K276" s="89"/>
      <c r="L276" s="89"/>
      <c r="M276" s="96" t="s">
        <v>925</v>
      </c>
      <c r="N276" s="108"/>
      <c r="O276" s="92">
        <v>6</v>
      </c>
      <c r="P276" s="93" t="s">
        <v>1279</v>
      </c>
      <c r="Q276" s="97" t="s">
        <v>173</v>
      </c>
      <c r="R276" s="92" t="s">
        <v>1248</v>
      </c>
      <c r="S276" s="92" t="s">
        <v>29</v>
      </c>
      <c r="T276" s="92" t="s">
        <v>29</v>
      </c>
      <c r="U276" s="116" t="s">
        <v>29</v>
      </c>
    </row>
    <row r="277" spans="1:21" ht="13.2" x14ac:dyDescent="0.25">
      <c r="A277" s="67" t="s">
        <v>923</v>
      </c>
      <c r="B277" s="108"/>
      <c r="C277" s="92">
        <v>7</v>
      </c>
      <c r="D277" s="93" t="s">
        <v>1280</v>
      </c>
      <c r="E277" s="97" t="s">
        <v>753</v>
      </c>
      <c r="F277" s="92" t="s">
        <v>1247</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20"/>
      <c r="E286" s="220"/>
      <c r="F286" s="222"/>
      <c r="G286" s="99">
        <v>3</v>
      </c>
      <c r="H286" s="99">
        <v>6</v>
      </c>
      <c r="I286" s="116" t="s">
        <v>29</v>
      </c>
      <c r="J286" s="89"/>
      <c r="K286" s="89"/>
      <c r="L286" s="89"/>
      <c r="M286" s="96" t="s">
        <v>29</v>
      </c>
      <c r="N286" s="108"/>
      <c r="O286" s="219" t="s">
        <v>972</v>
      </c>
      <c r="P286" s="220"/>
      <c r="Q286" s="220"/>
      <c r="R286" s="222"/>
      <c r="S286" s="99">
        <v>3</v>
      </c>
      <c r="T286" s="99">
        <v>6</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1281</v>
      </c>
      <c r="E290" s="94" t="s">
        <v>752</v>
      </c>
      <c r="F290" s="92" t="s">
        <v>1247</v>
      </c>
      <c r="G290" s="92">
        <v>5</v>
      </c>
      <c r="H290" s="92" t="s">
        <v>29</v>
      </c>
      <c r="I290" s="115" t="s">
        <v>64</v>
      </c>
      <c r="J290" s="89"/>
      <c r="K290" s="89"/>
      <c r="L290" s="89"/>
      <c r="M290" s="96" t="s">
        <v>929</v>
      </c>
      <c r="N290" s="84"/>
      <c r="O290" s="92">
        <v>1</v>
      </c>
      <c r="P290" s="93" t="s">
        <v>1282</v>
      </c>
      <c r="Q290" s="94" t="s">
        <v>168</v>
      </c>
      <c r="R290" s="92" t="s">
        <v>1248</v>
      </c>
      <c r="S290" s="92" t="s">
        <v>29</v>
      </c>
      <c r="T290" s="92">
        <v>5</v>
      </c>
      <c r="U290" s="115" t="s">
        <v>29</v>
      </c>
    </row>
    <row r="291" spans="1:21" ht="13.2" x14ac:dyDescent="0.25">
      <c r="A291" s="67" t="s">
        <v>927</v>
      </c>
      <c r="B291" s="84"/>
      <c r="C291" s="92">
        <v>2</v>
      </c>
      <c r="D291" s="93" t="s">
        <v>1283</v>
      </c>
      <c r="E291" s="97" t="s">
        <v>167</v>
      </c>
      <c r="F291" s="92" t="s">
        <v>1248</v>
      </c>
      <c r="G291" s="92" t="s">
        <v>29</v>
      </c>
      <c r="H291" s="92">
        <v>3</v>
      </c>
      <c r="I291" s="115" t="s">
        <v>29</v>
      </c>
      <c r="J291" s="89"/>
      <c r="K291" s="89"/>
      <c r="L291" s="89"/>
      <c r="M291" s="96" t="s">
        <v>929</v>
      </c>
      <c r="N291" s="84"/>
      <c r="O291" s="92">
        <v>2</v>
      </c>
      <c r="P291" s="93" t="s">
        <v>1284</v>
      </c>
      <c r="Q291" s="97" t="s">
        <v>748</v>
      </c>
      <c r="R291" s="92" t="s">
        <v>1247</v>
      </c>
      <c r="S291" s="92">
        <v>3</v>
      </c>
      <c r="T291" s="92" t="s">
        <v>29</v>
      </c>
      <c r="U291" s="115" t="s">
        <v>29</v>
      </c>
    </row>
    <row r="292" spans="1:21" ht="13.2" x14ac:dyDescent="0.25">
      <c r="A292" s="67" t="s">
        <v>29</v>
      </c>
      <c r="B292" s="84"/>
      <c r="C292" s="92" t="s">
        <v>29</v>
      </c>
      <c r="D292" s="93" t="s">
        <v>29</v>
      </c>
      <c r="E292" s="97" t="s">
        <v>29</v>
      </c>
      <c r="F292" s="92" t="s">
        <v>29</v>
      </c>
      <c r="G292" s="92" t="s">
        <v>29</v>
      </c>
      <c r="H292" s="92" t="s">
        <v>29</v>
      </c>
      <c r="I292" s="115" t="s">
        <v>29</v>
      </c>
      <c r="J292" s="89"/>
      <c r="K292" s="89"/>
      <c r="L292" s="89"/>
      <c r="M292" s="96" t="s">
        <v>929</v>
      </c>
      <c r="N292" s="84"/>
      <c r="O292" s="92">
        <v>3</v>
      </c>
      <c r="P292" s="93" t="s">
        <v>1285</v>
      </c>
      <c r="Q292" s="97" t="s">
        <v>747</v>
      </c>
      <c r="R292" s="92" t="s">
        <v>1247</v>
      </c>
      <c r="S292" s="92">
        <v>1</v>
      </c>
      <c r="T292" s="92" t="s">
        <v>29</v>
      </c>
      <c r="U292" s="115" t="s">
        <v>29</v>
      </c>
    </row>
    <row r="293" spans="1:21" ht="13.2" x14ac:dyDescent="0.25">
      <c r="A293" s="67" t="s">
        <v>29</v>
      </c>
      <c r="B293" s="84"/>
      <c r="C293" s="92" t="s">
        <v>29</v>
      </c>
      <c r="D293" s="93" t="s">
        <v>29</v>
      </c>
      <c r="E293" s="97" t="s">
        <v>29</v>
      </c>
      <c r="F293" s="92" t="s">
        <v>29</v>
      </c>
      <c r="G293" s="92" t="s">
        <v>29</v>
      </c>
      <c r="H293" s="92" t="s">
        <v>29</v>
      </c>
      <c r="I293" s="115" t="s">
        <v>29</v>
      </c>
      <c r="J293" s="89"/>
      <c r="K293" s="89"/>
      <c r="L293" s="89"/>
      <c r="M293" s="96" t="s">
        <v>929</v>
      </c>
      <c r="N293" s="84"/>
      <c r="O293" s="92">
        <v>4</v>
      </c>
      <c r="P293" s="93" t="s">
        <v>1286</v>
      </c>
      <c r="Q293" s="97" t="s">
        <v>215</v>
      </c>
      <c r="R293" s="92" t="s">
        <v>1247</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29</v>
      </c>
      <c r="N294" s="84"/>
      <c r="O294" s="92" t="s">
        <v>29</v>
      </c>
      <c r="P294" s="93" t="s">
        <v>29</v>
      </c>
      <c r="Q294" s="97" t="s">
        <v>29</v>
      </c>
      <c r="R294" s="92" t="s">
        <v>29</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20"/>
      <c r="E305" s="220"/>
      <c r="F305" s="220"/>
      <c r="G305" s="99">
        <v>5</v>
      </c>
      <c r="H305" s="99">
        <v>3</v>
      </c>
      <c r="I305" s="115" t="s">
        <v>29</v>
      </c>
      <c r="J305" s="89"/>
      <c r="K305" s="89"/>
      <c r="L305" s="89"/>
      <c r="M305" s="96" t="s">
        <v>29</v>
      </c>
      <c r="N305" s="84"/>
      <c r="O305" s="219" t="s">
        <v>985</v>
      </c>
      <c r="P305" s="220"/>
      <c r="Q305" s="220"/>
      <c r="R305" s="220"/>
      <c r="S305" s="99">
        <v>4</v>
      </c>
      <c r="T305" s="99">
        <v>5</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1287</v>
      </c>
      <c r="E309" s="94" t="s">
        <v>757</v>
      </c>
      <c r="F309" s="92" t="s">
        <v>1247</v>
      </c>
      <c r="G309" s="92">
        <v>5</v>
      </c>
      <c r="H309" s="92" t="s">
        <v>29</v>
      </c>
      <c r="I309" s="116" t="s">
        <v>29</v>
      </c>
      <c r="J309" s="89"/>
      <c r="K309" s="89"/>
      <c r="L309" s="89"/>
      <c r="M309" s="96" t="s">
        <v>933</v>
      </c>
      <c r="N309" s="108"/>
      <c r="O309" s="92">
        <v>1</v>
      </c>
      <c r="P309" s="93" t="s">
        <v>1288</v>
      </c>
      <c r="Q309" s="94" t="s">
        <v>760</v>
      </c>
      <c r="R309" s="92" t="s">
        <v>1247</v>
      </c>
      <c r="S309" s="92">
        <v>5</v>
      </c>
      <c r="T309" s="92" t="s">
        <v>29</v>
      </c>
      <c r="U309" s="116" t="s">
        <v>29</v>
      </c>
    </row>
    <row r="310" spans="1:21" ht="13.2" x14ac:dyDescent="0.25">
      <c r="A310" s="67" t="s">
        <v>931</v>
      </c>
      <c r="B310" s="108"/>
      <c r="C310" s="92">
        <v>2</v>
      </c>
      <c r="D310" s="93" t="s">
        <v>1289</v>
      </c>
      <c r="E310" s="97" t="s">
        <v>759</v>
      </c>
      <c r="F310" s="92" t="s">
        <v>1247</v>
      </c>
      <c r="G310" s="92">
        <v>3</v>
      </c>
      <c r="H310" s="92" t="s">
        <v>29</v>
      </c>
      <c r="I310" s="116" t="s">
        <v>29</v>
      </c>
      <c r="J310" s="89"/>
      <c r="K310" s="89"/>
      <c r="L310" s="89"/>
      <c r="M310" s="96" t="s">
        <v>933</v>
      </c>
      <c r="N310" s="108"/>
      <c r="O310" s="92">
        <v>2</v>
      </c>
      <c r="P310" s="93" t="s">
        <v>1290</v>
      </c>
      <c r="Q310" s="97" t="s">
        <v>177</v>
      </c>
      <c r="R310" s="92" t="s">
        <v>1248</v>
      </c>
      <c r="S310" s="92" t="s">
        <v>29</v>
      </c>
      <c r="T310" s="92">
        <v>3</v>
      </c>
      <c r="U310" s="116" t="s">
        <v>29</v>
      </c>
    </row>
    <row r="311" spans="1:21" ht="13.2" x14ac:dyDescent="0.25">
      <c r="A311" s="67" t="s">
        <v>931</v>
      </c>
      <c r="B311" s="108"/>
      <c r="C311" s="92">
        <v>3</v>
      </c>
      <c r="D311" s="93" t="s">
        <v>1291</v>
      </c>
      <c r="E311" s="97" t="s">
        <v>756</v>
      </c>
      <c r="F311" s="92" t="s">
        <v>1247</v>
      </c>
      <c r="G311" s="92">
        <v>1</v>
      </c>
      <c r="H311" s="92" t="s">
        <v>29</v>
      </c>
      <c r="I311" s="116" t="s">
        <v>29</v>
      </c>
      <c r="J311" s="89"/>
      <c r="K311" s="89"/>
      <c r="L311" s="89"/>
      <c r="M311" s="96" t="s">
        <v>933</v>
      </c>
      <c r="N311" s="108"/>
      <c r="O311" s="92">
        <v>3</v>
      </c>
      <c r="P311" s="93" t="s">
        <v>1292</v>
      </c>
      <c r="Q311" s="97" t="s">
        <v>178</v>
      </c>
      <c r="R311" s="92" t="s">
        <v>1248</v>
      </c>
      <c r="S311" s="92" t="s">
        <v>29</v>
      </c>
      <c r="T311" s="92">
        <v>1</v>
      </c>
      <c r="U311" s="116" t="s">
        <v>29</v>
      </c>
    </row>
    <row r="312" spans="1:21" ht="13.2" x14ac:dyDescent="0.25">
      <c r="A312" s="67" t="s">
        <v>931</v>
      </c>
      <c r="B312" s="108"/>
      <c r="C312" s="92">
        <v>4</v>
      </c>
      <c r="D312" s="93" t="s">
        <v>1293</v>
      </c>
      <c r="E312" s="97" t="s">
        <v>758</v>
      </c>
      <c r="F312" s="92" t="s">
        <v>1247</v>
      </c>
      <c r="G312" s="92" t="s">
        <v>29</v>
      </c>
      <c r="H312" s="92" t="s">
        <v>29</v>
      </c>
      <c r="I312" s="116" t="s">
        <v>29</v>
      </c>
      <c r="J312" s="89"/>
      <c r="K312" s="89"/>
      <c r="L312" s="89"/>
      <c r="M312" s="96" t="s">
        <v>29</v>
      </c>
      <c r="N312" s="108"/>
      <c r="O312" s="92" t="s">
        <v>29</v>
      </c>
      <c r="P312" s="93" t="s">
        <v>29</v>
      </c>
      <c r="Q312" s="97" t="s">
        <v>29</v>
      </c>
      <c r="R312" s="92" t="s">
        <v>29</v>
      </c>
      <c r="S312" s="92" t="s">
        <v>29</v>
      </c>
      <c r="T312" s="92" t="s">
        <v>29</v>
      </c>
      <c r="U312" s="116" t="s">
        <v>29</v>
      </c>
    </row>
    <row r="313" spans="1:21" ht="13.2" x14ac:dyDescent="0.25">
      <c r="A313" s="67" t="s">
        <v>931</v>
      </c>
      <c r="B313" s="108"/>
      <c r="C313" s="92">
        <v>5</v>
      </c>
      <c r="D313" s="93" t="s">
        <v>1294</v>
      </c>
      <c r="E313" s="97" t="s">
        <v>176</v>
      </c>
      <c r="F313" s="92" t="s">
        <v>1248</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931</v>
      </c>
      <c r="B314" s="108"/>
      <c r="C314" s="92">
        <v>6</v>
      </c>
      <c r="D314" s="93" t="s">
        <v>1295</v>
      </c>
      <c r="E314" s="97" t="s">
        <v>175</v>
      </c>
      <c r="F314" s="92" t="s">
        <v>1248</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20"/>
      <c r="E324" s="220"/>
      <c r="F324" s="220"/>
      <c r="G324" s="99">
        <v>9</v>
      </c>
      <c r="H324" s="99">
        <v>0</v>
      </c>
      <c r="I324" s="116" t="s">
        <v>29</v>
      </c>
      <c r="J324" s="89"/>
      <c r="K324" s="89"/>
      <c r="L324" s="89"/>
      <c r="M324" s="96" t="s">
        <v>29</v>
      </c>
      <c r="N324" s="108"/>
      <c r="O324" s="219" t="s">
        <v>996</v>
      </c>
      <c r="P324" s="220"/>
      <c r="Q324" s="220"/>
      <c r="R324" s="220"/>
      <c r="S324" s="99">
        <v>5</v>
      </c>
      <c r="T324" s="99">
        <v>4</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1296</v>
      </c>
      <c r="R326" s="220"/>
      <c r="S326" s="220"/>
      <c r="T326" s="222"/>
      <c r="U326" s="66" t="s">
        <v>29</v>
      </c>
    </row>
    <row r="327" spans="1:21" ht="13.2" x14ac:dyDescent="0.25">
      <c r="A327" s="67"/>
      <c r="B327" s="66"/>
      <c r="C327" s="245" t="s">
        <v>1297</v>
      </c>
      <c r="D327" s="227"/>
      <c r="E327" s="227"/>
      <c r="F327" s="227"/>
      <c r="G327" s="227"/>
      <c r="H327" s="228"/>
      <c r="I327" s="89" t="s">
        <v>29</v>
      </c>
      <c r="J327" s="89"/>
      <c r="K327" s="89"/>
      <c r="L327" s="89"/>
      <c r="M327" s="96"/>
      <c r="N327" s="119"/>
      <c r="O327" s="120" t="s">
        <v>1001</v>
      </c>
      <c r="P327" s="121"/>
      <c r="Q327" s="221" t="s">
        <v>1298</v>
      </c>
      <c r="R327" s="220"/>
      <c r="S327" s="220"/>
      <c r="T327" s="222"/>
      <c r="U327" s="66" t="s">
        <v>29</v>
      </c>
    </row>
    <row r="328" spans="1:21" ht="13.2" x14ac:dyDescent="0.25">
      <c r="A328" s="67"/>
      <c r="B328" s="66"/>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B329" s="66"/>
      <c r="C329" s="118" t="s">
        <v>1003</v>
      </c>
      <c r="D329" s="122"/>
      <c r="E329" s="225" t="s">
        <v>1298</v>
      </c>
      <c r="F329" s="220"/>
      <c r="G329" s="220"/>
      <c r="H329" s="222"/>
      <c r="I329" s="89" t="s">
        <v>29</v>
      </c>
      <c r="J329" s="89"/>
      <c r="K329" s="89"/>
      <c r="L329" s="89"/>
      <c r="M329" s="96"/>
      <c r="N329" s="119"/>
      <c r="O329" s="118" t="s">
        <v>1004</v>
      </c>
      <c r="P329" s="122"/>
      <c r="Q329" s="225" t="s">
        <v>1299</v>
      </c>
      <c r="R329" s="220"/>
      <c r="S329" s="220"/>
      <c r="T329" s="222"/>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64"/>
      <c r="D331" s="227"/>
      <c r="E331" s="227"/>
      <c r="F331" s="227"/>
      <c r="G331" s="227"/>
      <c r="H331" s="228"/>
      <c r="I331" s="66" t="s">
        <v>29</v>
      </c>
      <c r="J331" s="66"/>
      <c r="K331" s="66"/>
      <c r="L331" s="66"/>
      <c r="M331" s="74"/>
      <c r="N331" s="123"/>
      <c r="O331" s="240"/>
      <c r="P331" s="227"/>
      <c r="Q331" s="227"/>
      <c r="R331" s="227"/>
      <c r="S331" s="227"/>
      <c r="T331" s="228"/>
      <c r="U331" s="66" t="s">
        <v>29</v>
      </c>
    </row>
    <row r="332" spans="1:21" ht="13.2" x14ac:dyDescent="0.25">
      <c r="B332" s="66"/>
      <c r="C332" s="229"/>
      <c r="D332" s="224"/>
      <c r="E332" s="224"/>
      <c r="F332" s="224"/>
      <c r="G332" s="224"/>
      <c r="H332" s="230"/>
      <c r="I332" s="66" t="s">
        <v>29</v>
      </c>
      <c r="J332" s="66"/>
      <c r="K332" s="66"/>
      <c r="L332" s="66"/>
      <c r="M332" s="74"/>
      <c r="N332" s="123"/>
      <c r="O332" s="229"/>
      <c r="P332" s="224"/>
      <c r="Q332" s="224"/>
      <c r="R332" s="224"/>
      <c r="S332" s="224"/>
      <c r="T332" s="230"/>
      <c r="U332" s="66" t="s">
        <v>29</v>
      </c>
    </row>
    <row r="333" spans="1:21" ht="13.2" x14ac:dyDescent="0.25">
      <c r="B333" s="66"/>
      <c r="C333" s="229"/>
      <c r="D333" s="224"/>
      <c r="E333" s="224"/>
      <c r="F333" s="224"/>
      <c r="G333" s="224"/>
      <c r="H333" s="230"/>
      <c r="I333" s="66" t="s">
        <v>29</v>
      </c>
      <c r="J333" s="66"/>
      <c r="K333" s="66"/>
      <c r="L333" s="66"/>
      <c r="M333" s="74"/>
      <c r="N333" s="123"/>
      <c r="O333" s="229"/>
      <c r="P333" s="224"/>
      <c r="Q333" s="224"/>
      <c r="R333" s="224"/>
      <c r="S333" s="224"/>
      <c r="T333" s="230"/>
      <c r="U333" s="66" t="s">
        <v>29</v>
      </c>
    </row>
    <row r="334" spans="1:21" ht="13.2" x14ac:dyDescent="0.25">
      <c r="B334" s="66"/>
      <c r="C334" s="231"/>
      <c r="D334" s="232"/>
      <c r="E334" s="232"/>
      <c r="F334" s="232"/>
      <c r="G334" s="232"/>
      <c r="H334" s="233"/>
      <c r="I334" s="66" t="s">
        <v>29</v>
      </c>
      <c r="J334" s="66"/>
      <c r="K334" s="66"/>
      <c r="L334" s="66"/>
      <c r="M334" s="74"/>
      <c r="N334" s="123"/>
      <c r="O334" s="231"/>
      <c r="P334" s="232"/>
      <c r="Q334" s="232"/>
      <c r="R334" s="232"/>
      <c r="S334" s="232"/>
      <c r="T334" s="233"/>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12" priority="1" operator="equal">
      <formula>0</formula>
    </cfRule>
  </conditionalFormatting>
  <hyperlinks>
    <hyperlink ref="B3" location="null!a6" display="1" xr:uid="{00000000-0004-0000-0300-000000000000}"/>
    <hyperlink ref="D3" location="null!a6" display="KG-Kent Gardens" xr:uid="{00000000-0004-0000-0300-000001000000}"/>
    <hyperlink ref="P3" location="null!a6" display="HS-Highlands Swim" xr:uid="{00000000-0004-0000-0300-000002000000}"/>
    <hyperlink ref="B4" location="null!a116" display="2" xr:uid="{00000000-0004-0000-0300-000003000000}"/>
    <hyperlink ref="D4" location="null!a116" display="RH-Rolling Hills" xr:uid="{00000000-0004-0000-0300-000004000000}"/>
    <hyperlink ref="P4" location="null!a116" display="HV-Hunt Valley" xr:uid="{00000000-0004-0000-0300-000005000000}"/>
    <hyperlink ref="B5" location="null!a226" display="3" xr:uid="{00000000-0004-0000-0300-000006000000}"/>
    <hyperlink ref="D5" location="null!a226" display="SHR-Sleepy Hollow Rec" xr:uid="{00000000-0004-0000-0300-000007000000}"/>
    <hyperlink ref="P5" location="null!a226" display="DH-Dominion Hills" xr:uid="{00000000-0004-0000-0300-000008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AAAA"/>
    <outlinePr summaryBelow="0" summaryRight="0"/>
  </sheetPr>
  <dimension ref="A1:U34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20.332031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1.8" customHeight="1" x14ac:dyDescent="0.45">
      <c r="A1" s="42" t="s">
        <v>29</v>
      </c>
      <c r="B1" s="43"/>
      <c r="C1" s="125"/>
      <c r="D1" s="44">
        <v>45461</v>
      </c>
      <c r="E1" s="8"/>
      <c r="F1" s="45" t="s">
        <v>911</v>
      </c>
      <c r="G1" s="9"/>
      <c r="H1" s="8"/>
      <c r="I1" s="10"/>
      <c r="J1" s="10"/>
      <c r="K1" s="10"/>
      <c r="L1" s="10"/>
      <c r="M1" s="10"/>
      <c r="N1" s="10"/>
      <c r="O1" s="133"/>
      <c r="P1" s="10"/>
      <c r="Q1" s="46" t="s">
        <v>1</v>
      </c>
      <c r="R1" s="246">
        <v>3</v>
      </c>
      <c r="S1" s="220"/>
      <c r="T1" s="220"/>
      <c r="U1" s="12"/>
    </row>
    <row r="2" spans="1:21" ht="17.399999999999999" x14ac:dyDescent="0.3">
      <c r="B2" s="247" t="s">
        <v>0</v>
      </c>
      <c r="C2" s="224"/>
      <c r="D2" s="17" t="s">
        <v>859</v>
      </c>
      <c r="E2" s="9"/>
      <c r="F2" s="248" t="s">
        <v>2</v>
      </c>
      <c r="G2" s="224"/>
      <c r="H2" s="224"/>
      <c r="I2" s="249" t="s">
        <v>29</v>
      </c>
      <c r="J2" s="224"/>
      <c r="K2" s="224"/>
      <c r="L2" s="8"/>
      <c r="M2" s="8"/>
      <c r="N2" s="8"/>
      <c r="O2" s="39"/>
      <c r="P2" s="17" t="s">
        <v>860</v>
      </c>
      <c r="Q2" s="9"/>
      <c r="R2" s="248" t="s">
        <v>2</v>
      </c>
      <c r="S2" s="224"/>
      <c r="T2" s="224"/>
      <c r="U2" s="9" t="s">
        <v>29</v>
      </c>
    </row>
    <row r="3" spans="1:21" ht="15.6" x14ac:dyDescent="0.3">
      <c r="A3" s="47">
        <v>1</v>
      </c>
      <c r="B3" s="27">
        <v>1</v>
      </c>
      <c r="C3" s="39"/>
      <c r="D3" s="272" t="s">
        <v>874</v>
      </c>
      <c r="E3" s="222"/>
      <c r="F3" s="251">
        <v>35</v>
      </c>
      <c r="G3" s="220"/>
      <c r="H3" s="222"/>
      <c r="I3" s="48">
        <v>0</v>
      </c>
      <c r="J3" s="8"/>
      <c r="K3" s="49">
        <v>24</v>
      </c>
      <c r="L3" s="50" t="s">
        <v>11</v>
      </c>
      <c r="M3" s="8"/>
      <c r="N3" s="51">
        <v>18</v>
      </c>
      <c r="O3" s="39"/>
      <c r="P3" s="273" t="s">
        <v>875</v>
      </c>
      <c r="Q3" s="220"/>
      <c r="R3" s="253">
        <v>37</v>
      </c>
      <c r="S3" s="220"/>
      <c r="T3" s="222"/>
      <c r="U3" s="48">
        <v>0</v>
      </c>
    </row>
    <row r="4" spans="1:21" ht="15.6" x14ac:dyDescent="0.3">
      <c r="A4" s="47">
        <v>2</v>
      </c>
      <c r="B4" s="27">
        <v>2</v>
      </c>
      <c r="C4" s="163"/>
      <c r="D4" s="272" t="s">
        <v>876</v>
      </c>
      <c r="E4" s="222"/>
      <c r="F4" s="251">
        <v>43</v>
      </c>
      <c r="G4" s="220"/>
      <c r="H4" s="220"/>
      <c r="I4" s="48">
        <v>0</v>
      </c>
      <c r="J4" s="31"/>
      <c r="K4" s="49">
        <v>28</v>
      </c>
      <c r="L4" s="50" t="s">
        <v>11</v>
      </c>
      <c r="M4" s="31"/>
      <c r="N4" s="51">
        <v>18</v>
      </c>
      <c r="O4" s="164"/>
      <c r="P4" s="273" t="s">
        <v>877</v>
      </c>
      <c r="Q4" s="220"/>
      <c r="R4" s="253">
        <v>29</v>
      </c>
      <c r="S4" s="220"/>
      <c r="T4" s="220"/>
      <c r="U4" s="48">
        <v>0</v>
      </c>
    </row>
    <row r="5" spans="1:21" ht="15.6" x14ac:dyDescent="0.3">
      <c r="A5" s="47">
        <v>3</v>
      </c>
      <c r="B5" s="27">
        <v>3</v>
      </c>
      <c r="C5" s="163"/>
      <c r="D5" s="275" t="s">
        <v>878</v>
      </c>
      <c r="E5" s="228"/>
      <c r="F5" s="251">
        <v>30</v>
      </c>
      <c r="G5" s="220"/>
      <c r="H5" s="222"/>
      <c r="I5" s="48">
        <v>0</v>
      </c>
      <c r="J5" s="31"/>
      <c r="K5" s="49">
        <v>17</v>
      </c>
      <c r="L5" s="50" t="s">
        <v>11</v>
      </c>
      <c r="M5" s="31"/>
      <c r="N5" s="51">
        <v>21</v>
      </c>
      <c r="O5" s="164"/>
      <c r="P5" s="274" t="s">
        <v>879</v>
      </c>
      <c r="Q5" s="227"/>
      <c r="R5" s="255">
        <v>34</v>
      </c>
      <c r="S5" s="227"/>
      <c r="T5" s="228"/>
      <c r="U5" s="48">
        <v>0</v>
      </c>
    </row>
    <row r="6" spans="1:21" ht="17.399999999999999" x14ac:dyDescent="0.3">
      <c r="B6" s="54"/>
      <c r="C6" s="125"/>
      <c r="D6" s="55" t="s">
        <v>912</v>
      </c>
      <c r="E6" s="56">
        <v>1</v>
      </c>
      <c r="F6" s="9"/>
      <c r="G6" s="9"/>
      <c r="H6" s="9"/>
      <c r="I6" s="57"/>
      <c r="J6" s="57"/>
      <c r="K6" s="57"/>
      <c r="L6" s="57"/>
      <c r="M6" s="57"/>
      <c r="N6" s="57"/>
      <c r="O6" s="129"/>
      <c r="P6" s="55" t="s">
        <v>913</v>
      </c>
      <c r="Q6" s="259">
        <v>45461</v>
      </c>
      <c r="R6" s="224"/>
      <c r="S6" s="224"/>
      <c r="T6" s="224"/>
      <c r="U6" s="12"/>
    </row>
    <row r="7" spans="1:21" ht="15.6" x14ac:dyDescent="0.3">
      <c r="B7" s="58"/>
      <c r="C7" s="132"/>
      <c r="D7" s="10" t="s">
        <v>914</v>
      </c>
      <c r="E7" s="10"/>
      <c r="F7" s="8"/>
      <c r="G7" s="8"/>
      <c r="H7" s="8"/>
      <c r="I7" s="8"/>
      <c r="J7" s="8"/>
      <c r="K7" s="8"/>
      <c r="L7" s="8"/>
      <c r="M7" s="8"/>
      <c r="N7" s="8"/>
      <c r="O7" s="39"/>
      <c r="P7" s="11" t="s">
        <v>3</v>
      </c>
      <c r="Q7" s="260" t="s">
        <v>863</v>
      </c>
      <c r="R7" s="224"/>
      <c r="S7" s="224"/>
      <c r="T7" s="224"/>
      <c r="U7" s="8"/>
    </row>
    <row r="8" spans="1:21" ht="15.75" customHeight="1" x14ac:dyDescent="0.25">
      <c r="B8" s="59"/>
      <c r="C8" s="137"/>
      <c r="D8" s="10"/>
      <c r="E8" s="10"/>
      <c r="F8" s="8"/>
      <c r="G8" s="8"/>
      <c r="H8" s="8"/>
      <c r="I8" s="8"/>
      <c r="J8" s="8"/>
      <c r="K8" s="8"/>
      <c r="L8" s="8"/>
      <c r="M8" s="8"/>
      <c r="N8" s="8"/>
      <c r="O8" s="39"/>
      <c r="P8" s="10"/>
      <c r="Q8" s="10"/>
      <c r="R8" s="10"/>
      <c r="S8" s="8"/>
      <c r="T8" s="8"/>
      <c r="U8" s="8"/>
    </row>
    <row r="9" spans="1:21" ht="15.75" customHeight="1" x14ac:dyDescent="0.25">
      <c r="B9" s="139"/>
      <c r="C9" s="257" t="s">
        <v>859</v>
      </c>
      <c r="D9" s="220"/>
      <c r="E9" s="271" t="s">
        <v>874</v>
      </c>
      <c r="F9" s="220"/>
      <c r="G9" s="222"/>
      <c r="H9" s="150" t="s">
        <v>1300</v>
      </c>
      <c r="I9" s="151"/>
      <c r="J9" s="152"/>
      <c r="K9" s="152"/>
      <c r="L9" s="152"/>
      <c r="M9" s="152"/>
      <c r="N9" s="64"/>
      <c r="O9" s="236" t="s">
        <v>860</v>
      </c>
      <c r="P9" s="220"/>
      <c r="Q9" s="261" t="s">
        <v>875</v>
      </c>
      <c r="R9" s="220"/>
      <c r="S9" s="222"/>
      <c r="T9" s="154" t="s">
        <v>6</v>
      </c>
      <c r="U9" s="155"/>
    </row>
    <row r="10" spans="1:21" ht="15.75" customHeight="1" x14ac:dyDescent="0.25">
      <c r="B10" s="145"/>
      <c r="C10" s="265" t="s">
        <v>2</v>
      </c>
      <c r="D10" s="222"/>
      <c r="E10" s="266">
        <v>35</v>
      </c>
      <c r="F10" s="220"/>
      <c r="G10" s="220"/>
      <c r="H10" s="157"/>
      <c r="I10" s="151"/>
      <c r="J10" s="158"/>
      <c r="K10" s="158"/>
      <c r="L10" s="158"/>
      <c r="M10" s="158"/>
      <c r="N10" s="64"/>
      <c r="O10" s="262" t="s">
        <v>2</v>
      </c>
      <c r="P10" s="222"/>
      <c r="Q10" s="263">
        <v>37</v>
      </c>
      <c r="R10" s="220"/>
      <c r="S10" s="220"/>
      <c r="T10" s="160"/>
      <c r="U10" s="155"/>
    </row>
    <row r="11" spans="1:21" ht="15.75" customHeight="1" x14ac:dyDescent="0.25">
      <c r="B11" s="2"/>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C13" s="68" t="s">
        <v>919</v>
      </c>
      <c r="D13" s="75" t="s">
        <v>920</v>
      </c>
      <c r="E13" s="76"/>
      <c r="F13" s="77"/>
      <c r="G13" s="78">
        <v>4</v>
      </c>
      <c r="H13" s="79">
        <v>5</v>
      </c>
      <c r="I13" s="66"/>
      <c r="J13" s="66"/>
      <c r="K13" s="66"/>
      <c r="L13" s="66"/>
      <c r="M13" s="74"/>
      <c r="N13" s="66"/>
      <c r="O13" s="68" t="s">
        <v>921</v>
      </c>
      <c r="P13" s="75" t="s">
        <v>922</v>
      </c>
      <c r="Q13" s="76"/>
      <c r="R13" s="77"/>
      <c r="S13" s="78">
        <v>8</v>
      </c>
      <c r="T13" s="79">
        <v>1</v>
      </c>
      <c r="U13" s="66"/>
    </row>
    <row r="14" spans="1:21" ht="15.75" customHeight="1" x14ac:dyDescent="0.25">
      <c r="A14" s="67"/>
      <c r="C14" s="68" t="s">
        <v>923</v>
      </c>
      <c r="D14" s="75" t="s">
        <v>924</v>
      </c>
      <c r="E14" s="76"/>
      <c r="F14" s="77"/>
      <c r="G14" s="78">
        <v>1</v>
      </c>
      <c r="H14" s="79">
        <v>8</v>
      </c>
      <c r="I14" s="66"/>
      <c r="J14" s="66"/>
      <c r="K14" s="66"/>
      <c r="L14" s="66"/>
      <c r="M14" s="74"/>
      <c r="N14" s="66"/>
      <c r="O14" s="68" t="s">
        <v>925</v>
      </c>
      <c r="P14" s="75" t="s">
        <v>926</v>
      </c>
      <c r="Q14" s="76"/>
      <c r="R14" s="77"/>
      <c r="S14" s="78">
        <v>1</v>
      </c>
      <c r="T14" s="79">
        <v>8</v>
      </c>
      <c r="U14" s="66"/>
    </row>
    <row r="15" spans="1:21" ht="15.75" customHeight="1" x14ac:dyDescent="0.25">
      <c r="A15" s="67"/>
      <c r="C15" s="68" t="s">
        <v>927</v>
      </c>
      <c r="D15" s="75" t="s">
        <v>928</v>
      </c>
      <c r="E15" s="76"/>
      <c r="F15" s="77"/>
      <c r="G15" s="78">
        <v>5</v>
      </c>
      <c r="H15" s="79">
        <v>4</v>
      </c>
      <c r="I15" s="66"/>
      <c r="J15" s="66"/>
      <c r="K15" s="66"/>
      <c r="L15" s="66"/>
      <c r="M15" s="74"/>
      <c r="N15" s="66"/>
      <c r="O15" s="68" t="s">
        <v>929</v>
      </c>
      <c r="P15" s="75" t="s">
        <v>930</v>
      </c>
      <c r="Q15" s="76"/>
      <c r="R15" s="77"/>
      <c r="S15" s="78">
        <v>9</v>
      </c>
      <c r="T15" s="79">
        <v>0</v>
      </c>
      <c r="U15" s="66"/>
    </row>
    <row r="16" spans="1:21" ht="15.75" customHeight="1" x14ac:dyDescent="0.25">
      <c r="A16" s="67"/>
      <c r="C16" s="68" t="s">
        <v>931</v>
      </c>
      <c r="D16" s="75" t="s">
        <v>932</v>
      </c>
      <c r="E16" s="76"/>
      <c r="F16" s="77"/>
      <c r="G16" s="78">
        <v>3</v>
      </c>
      <c r="H16" s="79">
        <v>6</v>
      </c>
      <c r="I16" s="66"/>
      <c r="J16" s="66"/>
      <c r="K16" s="66"/>
      <c r="L16" s="66"/>
      <c r="M16" s="74"/>
      <c r="N16" s="66"/>
      <c r="O16" s="68" t="s">
        <v>933</v>
      </c>
      <c r="P16" s="75" t="s">
        <v>934</v>
      </c>
      <c r="Q16" s="76"/>
      <c r="R16" s="77"/>
      <c r="S16" s="78">
        <v>4</v>
      </c>
      <c r="T16" s="79">
        <v>5</v>
      </c>
      <c r="U16" s="66"/>
    </row>
    <row r="17" spans="1:21" ht="15.75" customHeight="1" x14ac:dyDescent="0.25">
      <c r="A17" s="67"/>
      <c r="C17" s="80"/>
      <c r="D17" s="81" t="s">
        <v>935</v>
      </c>
      <c r="E17" s="82"/>
      <c r="F17" s="83"/>
      <c r="G17" s="72">
        <v>13</v>
      </c>
      <c r="H17" s="73">
        <v>23</v>
      </c>
      <c r="I17" s="66"/>
      <c r="J17" s="66"/>
      <c r="K17" s="66"/>
      <c r="L17" s="66"/>
      <c r="M17" s="74"/>
      <c r="N17" s="66"/>
      <c r="O17" s="80"/>
      <c r="P17" s="81" t="s">
        <v>935</v>
      </c>
      <c r="Q17" s="82"/>
      <c r="R17" s="83"/>
      <c r="S17" s="72">
        <v>22</v>
      </c>
      <c r="T17" s="73">
        <v>14</v>
      </c>
      <c r="U17" s="66"/>
    </row>
    <row r="18" spans="1:21" ht="15.75" customHeight="1" x14ac:dyDescent="0.25">
      <c r="A18" s="67"/>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165"/>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165"/>
      <c r="C22" s="92">
        <v>1</v>
      </c>
      <c r="D22" s="93" t="s">
        <v>1301</v>
      </c>
      <c r="E22" s="94" t="s">
        <v>269</v>
      </c>
      <c r="F22" s="92" t="s">
        <v>6</v>
      </c>
      <c r="G22" s="92" t="s">
        <v>29</v>
      </c>
      <c r="H22" s="92">
        <v>5</v>
      </c>
      <c r="I22" s="115" t="s">
        <v>29</v>
      </c>
      <c r="J22" s="89"/>
      <c r="K22" s="89"/>
      <c r="L22" s="89"/>
      <c r="M22" s="96" t="s">
        <v>921</v>
      </c>
      <c r="N22" s="84"/>
      <c r="O22" s="92">
        <v>1</v>
      </c>
      <c r="P22" s="93" t="s">
        <v>1302</v>
      </c>
      <c r="Q22" s="94" t="s">
        <v>450</v>
      </c>
      <c r="R22" s="92" t="s">
        <v>1300</v>
      </c>
      <c r="S22" s="92">
        <v>5</v>
      </c>
      <c r="T22" s="92" t="s">
        <v>29</v>
      </c>
      <c r="U22" s="115" t="s">
        <v>29</v>
      </c>
    </row>
    <row r="23" spans="1:21" ht="15.75" customHeight="1" x14ac:dyDescent="0.25">
      <c r="A23" s="67" t="s">
        <v>919</v>
      </c>
      <c r="B23" s="165"/>
      <c r="C23" s="92">
        <v>2</v>
      </c>
      <c r="D23" s="93" t="s">
        <v>1303</v>
      </c>
      <c r="E23" s="97" t="s">
        <v>320</v>
      </c>
      <c r="F23" s="92" t="s">
        <v>1300</v>
      </c>
      <c r="G23" s="92">
        <v>3</v>
      </c>
      <c r="H23" s="92" t="s">
        <v>29</v>
      </c>
      <c r="I23" s="115" t="s">
        <v>29</v>
      </c>
      <c r="J23" s="89"/>
      <c r="K23" s="89"/>
      <c r="L23" s="89"/>
      <c r="M23" s="96" t="s">
        <v>921</v>
      </c>
      <c r="N23" s="84"/>
      <c r="O23" s="92">
        <v>2</v>
      </c>
      <c r="P23" s="93" t="s">
        <v>1304</v>
      </c>
      <c r="Q23" s="97" t="s">
        <v>228</v>
      </c>
      <c r="R23" s="92" t="s">
        <v>1300</v>
      </c>
      <c r="S23" s="92">
        <v>3</v>
      </c>
      <c r="T23" s="92" t="s">
        <v>29</v>
      </c>
      <c r="U23" s="115" t="s">
        <v>29</v>
      </c>
    </row>
    <row r="24" spans="1:21" ht="15.75" customHeight="1" x14ac:dyDescent="0.25">
      <c r="A24" s="67" t="s">
        <v>919</v>
      </c>
      <c r="B24" s="165"/>
      <c r="C24" s="92">
        <v>3</v>
      </c>
      <c r="D24" s="93" t="s">
        <v>1305</v>
      </c>
      <c r="E24" s="97" t="s">
        <v>447</v>
      </c>
      <c r="F24" s="92" t="s">
        <v>1300</v>
      </c>
      <c r="G24" s="92">
        <v>1</v>
      </c>
      <c r="H24" s="92" t="s">
        <v>29</v>
      </c>
      <c r="I24" s="115" t="s">
        <v>29</v>
      </c>
      <c r="J24" s="89"/>
      <c r="K24" s="89"/>
      <c r="L24" s="89"/>
      <c r="M24" s="96" t="s">
        <v>921</v>
      </c>
      <c r="N24" s="84"/>
      <c r="O24" s="92">
        <v>3</v>
      </c>
      <c r="P24" s="93" t="s">
        <v>1306</v>
      </c>
      <c r="Q24" s="97" t="s">
        <v>271</v>
      </c>
      <c r="R24" s="92" t="s">
        <v>6</v>
      </c>
      <c r="S24" s="92" t="s">
        <v>29</v>
      </c>
      <c r="T24" s="92">
        <v>1</v>
      </c>
      <c r="U24" s="115" t="s">
        <v>29</v>
      </c>
    </row>
    <row r="25" spans="1:21" ht="15.75" customHeight="1" x14ac:dyDescent="0.25">
      <c r="A25" s="67" t="s">
        <v>919</v>
      </c>
      <c r="B25" s="165"/>
      <c r="C25" s="92">
        <v>4</v>
      </c>
      <c r="D25" s="93" t="s">
        <v>1307</v>
      </c>
      <c r="E25" s="97" t="s">
        <v>448</v>
      </c>
      <c r="F25" s="92" t="s">
        <v>1300</v>
      </c>
      <c r="G25" s="92" t="s">
        <v>29</v>
      </c>
      <c r="H25" s="92" t="s">
        <v>29</v>
      </c>
      <c r="I25" s="115" t="s">
        <v>29</v>
      </c>
      <c r="J25" s="89"/>
      <c r="K25" s="89"/>
      <c r="L25" s="89"/>
      <c r="M25" s="96" t="s">
        <v>921</v>
      </c>
      <c r="N25" s="84"/>
      <c r="O25" s="92">
        <v>4</v>
      </c>
      <c r="P25" s="93" t="s">
        <v>1308</v>
      </c>
      <c r="Q25" s="97" t="s">
        <v>449</v>
      </c>
      <c r="R25" s="92" t="s">
        <v>1300</v>
      </c>
      <c r="S25" s="92" t="s">
        <v>29</v>
      </c>
      <c r="T25" s="92" t="s">
        <v>29</v>
      </c>
      <c r="U25" s="115" t="s">
        <v>29</v>
      </c>
    </row>
    <row r="26" spans="1:21" ht="15.75" customHeight="1" x14ac:dyDescent="0.25">
      <c r="A26" s="67" t="s">
        <v>919</v>
      </c>
      <c r="B26" s="165"/>
      <c r="C26" s="92">
        <v>5</v>
      </c>
      <c r="D26" s="93" t="s">
        <v>1309</v>
      </c>
      <c r="E26" s="97" t="s">
        <v>446</v>
      </c>
      <c r="F26" s="92" t="s">
        <v>1300</v>
      </c>
      <c r="G26" s="92" t="s">
        <v>29</v>
      </c>
      <c r="H26" s="92" t="s">
        <v>29</v>
      </c>
      <c r="I26" s="115" t="s">
        <v>29</v>
      </c>
      <c r="J26" s="89"/>
      <c r="K26" s="89"/>
      <c r="L26" s="89"/>
      <c r="M26" s="96" t="s">
        <v>29</v>
      </c>
      <c r="N26" s="84"/>
      <c r="O26" s="92" t="s">
        <v>29</v>
      </c>
      <c r="P26" s="93" t="s">
        <v>29</v>
      </c>
      <c r="Q26" s="97" t="s">
        <v>29</v>
      </c>
      <c r="R26" s="92" t="s">
        <v>29</v>
      </c>
      <c r="S26" s="92" t="s">
        <v>29</v>
      </c>
      <c r="T26" s="92" t="s">
        <v>29</v>
      </c>
      <c r="U26" s="115" t="s">
        <v>29</v>
      </c>
    </row>
    <row r="27" spans="1:21" ht="15.75" customHeight="1" x14ac:dyDescent="0.25">
      <c r="A27" s="67" t="s">
        <v>919</v>
      </c>
      <c r="B27" s="165"/>
      <c r="C27" s="92">
        <v>6</v>
      </c>
      <c r="D27" s="93" t="s">
        <v>1310</v>
      </c>
      <c r="E27" s="97" t="s">
        <v>270</v>
      </c>
      <c r="F27" s="92" t="s">
        <v>6</v>
      </c>
      <c r="G27" s="92" t="s">
        <v>29</v>
      </c>
      <c r="H27" s="92" t="s">
        <v>29</v>
      </c>
      <c r="I27" s="115" t="s">
        <v>29</v>
      </c>
      <c r="J27" s="89"/>
      <c r="K27" s="89"/>
      <c r="L27" s="89"/>
      <c r="M27" s="96" t="s">
        <v>29</v>
      </c>
      <c r="N27" s="84"/>
      <c r="O27" s="92" t="s">
        <v>29</v>
      </c>
      <c r="P27" s="93" t="s">
        <v>29</v>
      </c>
      <c r="Q27" s="97" t="s">
        <v>29</v>
      </c>
      <c r="R27" s="92" t="s">
        <v>29</v>
      </c>
      <c r="S27" s="92" t="s">
        <v>29</v>
      </c>
      <c r="T27" s="92" t="s">
        <v>29</v>
      </c>
      <c r="U27" s="115" t="s">
        <v>29</v>
      </c>
    </row>
    <row r="28" spans="1:21" ht="15.75" customHeight="1" x14ac:dyDescent="0.25">
      <c r="A28" s="67" t="s">
        <v>919</v>
      </c>
      <c r="B28" s="165"/>
      <c r="C28" s="92">
        <v>7</v>
      </c>
      <c r="D28" s="93" t="s">
        <v>1311</v>
      </c>
      <c r="E28" s="97" t="s">
        <v>445</v>
      </c>
      <c r="F28" s="92" t="s">
        <v>1300</v>
      </c>
      <c r="G28" s="92" t="s">
        <v>29</v>
      </c>
      <c r="H28" s="92" t="s">
        <v>29</v>
      </c>
      <c r="I28" s="115" t="s">
        <v>29</v>
      </c>
      <c r="J28" s="89"/>
      <c r="K28" s="89"/>
      <c r="L28" s="89"/>
      <c r="M28" s="96" t="s">
        <v>29</v>
      </c>
      <c r="N28" s="84"/>
      <c r="O28" s="92" t="s">
        <v>29</v>
      </c>
      <c r="P28" s="93" t="s">
        <v>29</v>
      </c>
      <c r="Q28" s="97" t="s">
        <v>29</v>
      </c>
      <c r="R28" s="92" t="s">
        <v>29</v>
      </c>
      <c r="S28" s="92" t="s">
        <v>29</v>
      </c>
      <c r="T28" s="92" t="s">
        <v>29</v>
      </c>
      <c r="U28" s="115" t="s">
        <v>29</v>
      </c>
    </row>
    <row r="29" spans="1:21" ht="15.75" customHeight="1" x14ac:dyDescent="0.25">
      <c r="A29" s="67" t="s">
        <v>919</v>
      </c>
      <c r="B29" s="165"/>
      <c r="C29" s="92">
        <v>8</v>
      </c>
      <c r="D29" s="98" t="s">
        <v>1312</v>
      </c>
      <c r="E29" s="97" t="s">
        <v>139</v>
      </c>
      <c r="F29" s="92" t="s">
        <v>1300</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29</v>
      </c>
      <c r="B30" s="165"/>
      <c r="C30" s="92" t="s">
        <v>29</v>
      </c>
      <c r="D30" s="98" t="s">
        <v>29</v>
      </c>
      <c r="E30" s="97" t="s">
        <v>29</v>
      </c>
      <c r="F30" s="92" t="s">
        <v>29</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29</v>
      </c>
      <c r="B31" s="165"/>
      <c r="C31" s="92" t="s">
        <v>29</v>
      </c>
      <c r="D31" s="98" t="s">
        <v>29</v>
      </c>
      <c r="E31" s="97" t="s">
        <v>29</v>
      </c>
      <c r="F31" s="92" t="s">
        <v>29</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29</v>
      </c>
      <c r="B32" s="165"/>
      <c r="C32" s="92" t="s">
        <v>29</v>
      </c>
      <c r="D32" s="98" t="s">
        <v>29</v>
      </c>
      <c r="E32" s="97" t="s">
        <v>29</v>
      </c>
      <c r="F32" s="92" t="s">
        <v>29</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29</v>
      </c>
      <c r="B33" s="165"/>
      <c r="C33" s="92" t="s">
        <v>29</v>
      </c>
      <c r="D33" s="98" t="s">
        <v>29</v>
      </c>
      <c r="E33" s="97" t="s">
        <v>29</v>
      </c>
      <c r="F33" s="92" t="s">
        <v>29</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165"/>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165"/>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165"/>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165"/>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165"/>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165"/>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165"/>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165"/>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165"/>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165"/>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165"/>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165"/>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165"/>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165"/>
      <c r="C47" s="219" t="s">
        <v>954</v>
      </c>
      <c r="D47" s="220"/>
      <c r="E47" s="220"/>
      <c r="F47" s="220"/>
      <c r="G47" s="99">
        <v>4</v>
      </c>
      <c r="H47" s="99">
        <v>5</v>
      </c>
      <c r="I47" s="115" t="s">
        <v>29</v>
      </c>
      <c r="J47" s="89"/>
      <c r="K47" s="89"/>
      <c r="L47" s="89"/>
      <c r="M47" s="96" t="s">
        <v>29</v>
      </c>
      <c r="N47" s="84"/>
      <c r="O47" s="219" t="s">
        <v>955</v>
      </c>
      <c r="P47" s="220"/>
      <c r="Q47" s="220"/>
      <c r="R47" s="220"/>
      <c r="S47" s="99">
        <v>8</v>
      </c>
      <c r="T47" s="99">
        <v>1</v>
      </c>
      <c r="U47" s="115" t="s">
        <v>29</v>
      </c>
    </row>
    <row r="48" spans="1:21" ht="13.2" x14ac:dyDescent="0.25">
      <c r="A48" s="67" t="s">
        <v>29</v>
      </c>
      <c r="B48" s="166"/>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67"/>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68"/>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69"/>
      <c r="C51" s="92">
        <v>1</v>
      </c>
      <c r="D51" s="93" t="s">
        <v>1313</v>
      </c>
      <c r="E51" s="94" t="s">
        <v>276</v>
      </c>
      <c r="F51" s="92" t="s">
        <v>6</v>
      </c>
      <c r="G51" s="92" t="s">
        <v>29</v>
      </c>
      <c r="H51" s="92">
        <v>5</v>
      </c>
      <c r="I51" s="116" t="s">
        <v>29</v>
      </c>
      <c r="J51" s="89"/>
      <c r="K51" s="89"/>
      <c r="L51" s="89"/>
      <c r="M51" s="96" t="s">
        <v>925</v>
      </c>
      <c r="N51" s="108"/>
      <c r="O51" s="92">
        <v>1</v>
      </c>
      <c r="P51" s="93" t="s">
        <v>1314</v>
      </c>
      <c r="Q51" s="94" t="s">
        <v>280</v>
      </c>
      <c r="R51" s="92" t="s">
        <v>6</v>
      </c>
      <c r="S51" s="92" t="s">
        <v>29</v>
      </c>
      <c r="T51" s="92">
        <v>5</v>
      </c>
      <c r="U51" s="116" t="s">
        <v>29</v>
      </c>
    </row>
    <row r="52" spans="1:21" ht="13.2" x14ac:dyDescent="0.25">
      <c r="A52" s="67" t="s">
        <v>923</v>
      </c>
      <c r="B52" s="169"/>
      <c r="C52" s="92">
        <v>2</v>
      </c>
      <c r="D52" s="93" t="s">
        <v>1315</v>
      </c>
      <c r="E52" s="97" t="s">
        <v>277</v>
      </c>
      <c r="F52" s="92" t="s">
        <v>6</v>
      </c>
      <c r="G52" s="92" t="s">
        <v>29</v>
      </c>
      <c r="H52" s="92">
        <v>3</v>
      </c>
      <c r="I52" s="116" t="s">
        <v>29</v>
      </c>
      <c r="J52" s="89"/>
      <c r="K52" s="89"/>
      <c r="L52" s="89"/>
      <c r="M52" s="96" t="s">
        <v>925</v>
      </c>
      <c r="N52" s="108"/>
      <c r="O52" s="92">
        <v>2</v>
      </c>
      <c r="P52" s="93" t="s">
        <v>1316</v>
      </c>
      <c r="Q52" s="97" t="s">
        <v>279</v>
      </c>
      <c r="R52" s="92" t="s">
        <v>6</v>
      </c>
      <c r="S52" s="92" t="s">
        <v>29</v>
      </c>
      <c r="T52" s="92">
        <v>3</v>
      </c>
      <c r="U52" s="116" t="s">
        <v>29</v>
      </c>
    </row>
    <row r="53" spans="1:21" ht="13.2" x14ac:dyDescent="0.25">
      <c r="A53" s="67" t="s">
        <v>923</v>
      </c>
      <c r="B53" s="169"/>
      <c r="C53" s="92">
        <v>3</v>
      </c>
      <c r="D53" s="93" t="s">
        <v>1317</v>
      </c>
      <c r="E53" s="97" t="s">
        <v>455</v>
      </c>
      <c r="F53" s="92" t="s">
        <v>1300</v>
      </c>
      <c r="G53" s="92">
        <v>1</v>
      </c>
      <c r="H53" s="92" t="s">
        <v>29</v>
      </c>
      <c r="I53" s="116" t="s">
        <v>29</v>
      </c>
      <c r="J53" s="89"/>
      <c r="K53" s="89"/>
      <c r="L53" s="89"/>
      <c r="M53" s="96" t="s">
        <v>925</v>
      </c>
      <c r="N53" s="108"/>
      <c r="O53" s="92">
        <v>3</v>
      </c>
      <c r="P53" s="93" t="s">
        <v>1318</v>
      </c>
      <c r="Q53" s="97" t="s">
        <v>457</v>
      </c>
      <c r="R53" s="92" t="s">
        <v>1300</v>
      </c>
      <c r="S53" s="92">
        <v>1</v>
      </c>
      <c r="T53" s="92" t="s">
        <v>29</v>
      </c>
      <c r="U53" s="116" t="s">
        <v>29</v>
      </c>
    </row>
    <row r="54" spans="1:21" ht="13.2" x14ac:dyDescent="0.25">
      <c r="A54" s="67" t="s">
        <v>923</v>
      </c>
      <c r="B54" s="169"/>
      <c r="C54" s="92">
        <v>4</v>
      </c>
      <c r="D54" s="93" t="s">
        <v>1319</v>
      </c>
      <c r="E54" s="97" t="s">
        <v>456</v>
      </c>
      <c r="F54" s="92" t="s">
        <v>1300</v>
      </c>
      <c r="G54" s="92" t="s">
        <v>29</v>
      </c>
      <c r="H54" s="92" t="s">
        <v>29</v>
      </c>
      <c r="I54" s="116" t="s">
        <v>29</v>
      </c>
      <c r="J54" s="89"/>
      <c r="K54" s="89"/>
      <c r="L54" s="89"/>
      <c r="M54" s="96" t="s">
        <v>925</v>
      </c>
      <c r="N54" s="108"/>
      <c r="O54" s="92">
        <v>4</v>
      </c>
      <c r="P54" s="93" t="s">
        <v>1320</v>
      </c>
      <c r="Q54" s="97" t="s">
        <v>237</v>
      </c>
      <c r="R54" s="92" t="s">
        <v>1300</v>
      </c>
      <c r="S54" s="92" t="s">
        <v>29</v>
      </c>
      <c r="T54" s="92" t="s">
        <v>29</v>
      </c>
      <c r="U54" s="116" t="s">
        <v>29</v>
      </c>
    </row>
    <row r="55" spans="1:21" ht="13.2" x14ac:dyDescent="0.25">
      <c r="A55" s="67" t="s">
        <v>923</v>
      </c>
      <c r="B55" s="169"/>
      <c r="C55" s="92">
        <v>5</v>
      </c>
      <c r="D55" s="93" t="s">
        <v>1321</v>
      </c>
      <c r="E55" s="97" t="s">
        <v>275</v>
      </c>
      <c r="F55" s="92" t="s">
        <v>6</v>
      </c>
      <c r="G55" s="92" t="s">
        <v>29</v>
      </c>
      <c r="H55" s="92" t="s">
        <v>29</v>
      </c>
      <c r="I55" s="116" t="s">
        <v>29</v>
      </c>
      <c r="J55" s="89"/>
      <c r="K55" s="89"/>
      <c r="L55" s="89"/>
      <c r="M55" s="96" t="s">
        <v>925</v>
      </c>
      <c r="N55" s="108"/>
      <c r="O55" s="92">
        <v>5</v>
      </c>
      <c r="P55" s="93" t="s">
        <v>1322</v>
      </c>
      <c r="Q55" s="97" t="s">
        <v>458</v>
      </c>
      <c r="R55" s="92" t="s">
        <v>1300</v>
      </c>
      <c r="S55" s="92" t="s">
        <v>29</v>
      </c>
      <c r="T55" s="92" t="s">
        <v>29</v>
      </c>
      <c r="U55" s="116" t="s">
        <v>29</v>
      </c>
    </row>
    <row r="56" spans="1:21" ht="13.2" x14ac:dyDescent="0.25">
      <c r="A56" s="67" t="s">
        <v>923</v>
      </c>
      <c r="B56" s="169"/>
      <c r="C56" s="92">
        <v>6</v>
      </c>
      <c r="D56" s="93" t="s">
        <v>1323</v>
      </c>
      <c r="E56" s="97" t="s">
        <v>278</v>
      </c>
      <c r="F56" s="92" t="s">
        <v>6</v>
      </c>
      <c r="G56" s="92" t="s">
        <v>29</v>
      </c>
      <c r="H56" s="92" t="s">
        <v>29</v>
      </c>
      <c r="I56" s="116" t="s">
        <v>29</v>
      </c>
      <c r="J56" s="89"/>
      <c r="K56" s="89"/>
      <c r="L56" s="89"/>
      <c r="M56" s="96" t="s">
        <v>29</v>
      </c>
      <c r="N56" s="108"/>
      <c r="O56" s="92" t="s">
        <v>29</v>
      </c>
      <c r="P56" s="93" t="s">
        <v>29</v>
      </c>
      <c r="Q56" s="97" t="s">
        <v>29</v>
      </c>
      <c r="R56" s="92" t="s">
        <v>29</v>
      </c>
      <c r="S56" s="92" t="s">
        <v>29</v>
      </c>
      <c r="T56" s="92" t="s">
        <v>29</v>
      </c>
      <c r="U56" s="116" t="s">
        <v>29</v>
      </c>
    </row>
    <row r="57" spans="1:21" ht="13.2" x14ac:dyDescent="0.25">
      <c r="A57" s="67" t="s">
        <v>923</v>
      </c>
      <c r="B57" s="169"/>
      <c r="C57" s="92">
        <v>7</v>
      </c>
      <c r="D57" s="93" t="s">
        <v>1324</v>
      </c>
      <c r="E57" s="97" t="s">
        <v>274</v>
      </c>
      <c r="F57" s="92" t="s">
        <v>6</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29</v>
      </c>
      <c r="B58" s="169"/>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69"/>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69"/>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69"/>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69"/>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69"/>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69"/>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69"/>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69"/>
      <c r="C66" s="219" t="s">
        <v>971</v>
      </c>
      <c r="D66" s="220"/>
      <c r="E66" s="220"/>
      <c r="F66" s="222"/>
      <c r="G66" s="99">
        <v>1</v>
      </c>
      <c r="H66" s="99">
        <v>8</v>
      </c>
      <c r="I66" s="116" t="s">
        <v>29</v>
      </c>
      <c r="J66" s="89"/>
      <c r="K66" s="89"/>
      <c r="L66" s="89"/>
      <c r="M66" s="96" t="s">
        <v>29</v>
      </c>
      <c r="N66" s="108"/>
      <c r="O66" s="219" t="s">
        <v>972</v>
      </c>
      <c r="P66" s="220"/>
      <c r="Q66" s="220"/>
      <c r="R66" s="222"/>
      <c r="S66" s="99">
        <v>1</v>
      </c>
      <c r="T66" s="99">
        <v>8</v>
      </c>
      <c r="U66" s="116" t="s">
        <v>29</v>
      </c>
    </row>
    <row r="67" spans="1:21" ht="13.2" x14ac:dyDescent="0.25">
      <c r="A67" s="67" t="s">
        <v>29</v>
      </c>
      <c r="B67" s="166"/>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67"/>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70"/>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165"/>
      <c r="C70" s="92">
        <v>1</v>
      </c>
      <c r="D70" s="93" t="s">
        <v>1325</v>
      </c>
      <c r="E70" s="94" t="s">
        <v>454</v>
      </c>
      <c r="F70" s="92" t="s">
        <v>1300</v>
      </c>
      <c r="G70" s="92">
        <v>5</v>
      </c>
      <c r="H70" s="92" t="s">
        <v>29</v>
      </c>
      <c r="I70" s="115" t="s">
        <v>64</v>
      </c>
      <c r="J70" s="89"/>
      <c r="K70" s="89"/>
      <c r="L70" s="89"/>
      <c r="M70" s="96" t="s">
        <v>929</v>
      </c>
      <c r="N70" s="84"/>
      <c r="O70" s="92">
        <v>1</v>
      </c>
      <c r="P70" s="93" t="s">
        <v>1326</v>
      </c>
      <c r="Q70" s="94" t="s">
        <v>453</v>
      </c>
      <c r="R70" s="92" t="s">
        <v>1300</v>
      </c>
      <c r="S70" s="92">
        <v>5</v>
      </c>
      <c r="T70" s="92" t="s">
        <v>29</v>
      </c>
      <c r="U70" s="115" t="s">
        <v>29</v>
      </c>
    </row>
    <row r="71" spans="1:21" ht="13.2" x14ac:dyDescent="0.25">
      <c r="A71" s="67" t="s">
        <v>927</v>
      </c>
      <c r="B71" s="165"/>
      <c r="C71" s="92">
        <v>2</v>
      </c>
      <c r="D71" s="93" t="s">
        <v>1327</v>
      </c>
      <c r="E71" s="97" t="s">
        <v>273</v>
      </c>
      <c r="F71" s="92" t="s">
        <v>6</v>
      </c>
      <c r="G71" s="92" t="s">
        <v>29</v>
      </c>
      <c r="H71" s="92">
        <v>3</v>
      </c>
      <c r="I71" s="115" t="s">
        <v>29</v>
      </c>
      <c r="J71" s="89"/>
      <c r="K71" s="89"/>
      <c r="L71" s="89"/>
      <c r="M71" s="96" t="s">
        <v>929</v>
      </c>
      <c r="N71" s="84"/>
      <c r="O71" s="92">
        <v>2</v>
      </c>
      <c r="P71" s="93" t="s">
        <v>1328</v>
      </c>
      <c r="Q71" s="97" t="s">
        <v>452</v>
      </c>
      <c r="R71" s="92" t="s">
        <v>1300</v>
      </c>
      <c r="S71" s="92">
        <v>3</v>
      </c>
      <c r="T71" s="92" t="s">
        <v>29</v>
      </c>
      <c r="U71" s="115" t="s">
        <v>29</v>
      </c>
    </row>
    <row r="72" spans="1:21" ht="13.2" x14ac:dyDescent="0.25">
      <c r="A72" s="67" t="s">
        <v>927</v>
      </c>
      <c r="B72" s="165"/>
      <c r="C72" s="92">
        <v>3</v>
      </c>
      <c r="D72" s="93" t="s">
        <v>1329</v>
      </c>
      <c r="E72" s="97" t="s">
        <v>272</v>
      </c>
      <c r="F72" s="92" t="s">
        <v>6</v>
      </c>
      <c r="G72" s="92" t="s">
        <v>29</v>
      </c>
      <c r="H72" s="92">
        <v>1</v>
      </c>
      <c r="I72" s="115" t="s">
        <v>29</v>
      </c>
      <c r="J72" s="89"/>
      <c r="K72" s="89"/>
      <c r="L72" s="89"/>
      <c r="M72" s="96" t="s">
        <v>929</v>
      </c>
      <c r="N72" s="84"/>
      <c r="O72" s="92">
        <v>3</v>
      </c>
      <c r="P72" s="93" t="s">
        <v>1330</v>
      </c>
      <c r="Q72" s="97" t="s">
        <v>112</v>
      </c>
      <c r="R72" s="92" t="s">
        <v>1300</v>
      </c>
      <c r="S72" s="92">
        <v>1</v>
      </c>
      <c r="T72" s="92" t="s">
        <v>29</v>
      </c>
      <c r="U72" s="115" t="s">
        <v>29</v>
      </c>
    </row>
    <row r="73" spans="1:21" ht="13.2" x14ac:dyDescent="0.25">
      <c r="A73" s="67" t="s">
        <v>927</v>
      </c>
      <c r="B73" s="165"/>
      <c r="C73" s="92">
        <v>4</v>
      </c>
      <c r="D73" s="93" t="s">
        <v>1331</v>
      </c>
      <c r="E73" s="97" t="s">
        <v>451</v>
      </c>
      <c r="F73" s="92" t="s">
        <v>1300</v>
      </c>
      <c r="G73" s="92" t="s">
        <v>29</v>
      </c>
      <c r="H73" s="92" t="s">
        <v>29</v>
      </c>
      <c r="I73" s="115" t="s">
        <v>29</v>
      </c>
      <c r="J73" s="89"/>
      <c r="K73" s="89"/>
      <c r="L73" s="89"/>
      <c r="M73" s="96" t="s">
        <v>29</v>
      </c>
      <c r="N73" s="84"/>
      <c r="O73" s="92" t="s">
        <v>29</v>
      </c>
      <c r="P73" s="93" t="s">
        <v>29</v>
      </c>
      <c r="Q73" s="97" t="s">
        <v>29</v>
      </c>
      <c r="R73" s="92" t="s">
        <v>29</v>
      </c>
      <c r="S73" s="92" t="s">
        <v>29</v>
      </c>
      <c r="T73" s="92" t="s">
        <v>29</v>
      </c>
      <c r="U73" s="115" t="s">
        <v>29</v>
      </c>
    </row>
    <row r="74" spans="1:21" ht="13.2" x14ac:dyDescent="0.25">
      <c r="A74" s="67" t="s">
        <v>29</v>
      </c>
      <c r="B74" s="165"/>
      <c r="C74" s="92" t="s">
        <v>29</v>
      </c>
      <c r="D74" s="93" t="s">
        <v>29</v>
      </c>
      <c r="E74" s="97" t="s">
        <v>29</v>
      </c>
      <c r="F74" s="92" t="s">
        <v>29</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165"/>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165"/>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165"/>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165"/>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165"/>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165"/>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165"/>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165"/>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165"/>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165"/>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165"/>
      <c r="C85" s="219" t="s">
        <v>984</v>
      </c>
      <c r="D85" s="220"/>
      <c r="E85" s="220"/>
      <c r="F85" s="220"/>
      <c r="G85" s="99">
        <v>5</v>
      </c>
      <c r="H85" s="99">
        <v>4</v>
      </c>
      <c r="I85" s="115" t="s">
        <v>29</v>
      </c>
      <c r="J85" s="89"/>
      <c r="K85" s="89"/>
      <c r="L85" s="89"/>
      <c r="M85" s="96" t="s">
        <v>29</v>
      </c>
      <c r="N85" s="84"/>
      <c r="O85" s="219" t="s">
        <v>985</v>
      </c>
      <c r="P85" s="220"/>
      <c r="Q85" s="220"/>
      <c r="R85" s="220"/>
      <c r="S85" s="99">
        <v>9</v>
      </c>
      <c r="T85" s="99">
        <v>0</v>
      </c>
      <c r="U85" s="115" t="s">
        <v>29</v>
      </c>
    </row>
    <row r="86" spans="1:21" ht="13.2" x14ac:dyDescent="0.25">
      <c r="A86" s="67" t="s">
        <v>29</v>
      </c>
      <c r="B86" s="166"/>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67"/>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68"/>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69"/>
      <c r="C89" s="92">
        <v>1</v>
      </c>
      <c r="D89" s="93" t="s">
        <v>1332</v>
      </c>
      <c r="E89" s="94" t="s">
        <v>285</v>
      </c>
      <c r="F89" s="92" t="s">
        <v>6</v>
      </c>
      <c r="G89" s="92" t="s">
        <v>29</v>
      </c>
      <c r="H89" s="92">
        <v>5</v>
      </c>
      <c r="I89" s="116" t="s">
        <v>29</v>
      </c>
      <c r="J89" s="89"/>
      <c r="K89" s="89"/>
      <c r="L89" s="89"/>
      <c r="M89" s="96" t="s">
        <v>933</v>
      </c>
      <c r="N89" s="108"/>
      <c r="O89" s="92">
        <v>1</v>
      </c>
      <c r="P89" s="93" t="s">
        <v>1333</v>
      </c>
      <c r="Q89" s="94" t="s">
        <v>286</v>
      </c>
      <c r="R89" s="92" t="s">
        <v>6</v>
      </c>
      <c r="S89" s="92" t="s">
        <v>29</v>
      </c>
      <c r="T89" s="92">
        <v>5</v>
      </c>
      <c r="U89" s="116" t="s">
        <v>29</v>
      </c>
    </row>
    <row r="90" spans="1:21" ht="13.2" x14ac:dyDescent="0.25">
      <c r="A90" s="67" t="s">
        <v>931</v>
      </c>
      <c r="B90" s="169"/>
      <c r="C90" s="92">
        <v>2</v>
      </c>
      <c r="D90" s="93" t="s">
        <v>1334</v>
      </c>
      <c r="E90" s="97" t="s">
        <v>242</v>
      </c>
      <c r="F90" s="92" t="s">
        <v>1300</v>
      </c>
      <c r="G90" s="92">
        <v>3</v>
      </c>
      <c r="H90" s="92" t="s">
        <v>29</v>
      </c>
      <c r="I90" s="116" t="s">
        <v>29</v>
      </c>
      <c r="J90" s="89"/>
      <c r="K90" s="89"/>
      <c r="L90" s="89"/>
      <c r="M90" s="96" t="s">
        <v>933</v>
      </c>
      <c r="N90" s="108"/>
      <c r="O90" s="92">
        <v>2</v>
      </c>
      <c r="P90" s="93" t="s">
        <v>1335</v>
      </c>
      <c r="Q90" s="97" t="s">
        <v>460</v>
      </c>
      <c r="R90" s="92" t="s">
        <v>1300</v>
      </c>
      <c r="S90" s="92">
        <v>3</v>
      </c>
      <c r="T90" s="92" t="s">
        <v>29</v>
      </c>
      <c r="U90" s="116" t="s">
        <v>29</v>
      </c>
    </row>
    <row r="91" spans="1:21" ht="13.2" x14ac:dyDescent="0.25">
      <c r="A91" s="67" t="s">
        <v>931</v>
      </c>
      <c r="B91" s="169"/>
      <c r="C91" s="92">
        <v>3</v>
      </c>
      <c r="D91" s="93" t="s">
        <v>1336</v>
      </c>
      <c r="E91" s="97" t="s">
        <v>281</v>
      </c>
      <c r="F91" s="92" t="s">
        <v>6</v>
      </c>
      <c r="G91" s="92" t="s">
        <v>29</v>
      </c>
      <c r="H91" s="92">
        <v>1</v>
      </c>
      <c r="I91" s="116" t="s">
        <v>29</v>
      </c>
      <c r="J91" s="89"/>
      <c r="K91" s="89"/>
      <c r="L91" s="89"/>
      <c r="M91" s="96" t="s">
        <v>933</v>
      </c>
      <c r="N91" s="108"/>
      <c r="O91" s="92">
        <v>3</v>
      </c>
      <c r="P91" s="93" t="s">
        <v>1337</v>
      </c>
      <c r="Q91" s="97" t="s">
        <v>462</v>
      </c>
      <c r="R91" s="92" t="s">
        <v>1300</v>
      </c>
      <c r="S91" s="92">
        <v>1</v>
      </c>
      <c r="T91" s="92" t="s">
        <v>29</v>
      </c>
      <c r="U91" s="116" t="s">
        <v>29</v>
      </c>
    </row>
    <row r="92" spans="1:21" ht="13.2" x14ac:dyDescent="0.25">
      <c r="A92" s="67" t="s">
        <v>931</v>
      </c>
      <c r="B92" s="169"/>
      <c r="C92" s="92">
        <v>4</v>
      </c>
      <c r="D92" s="93" t="s">
        <v>1338</v>
      </c>
      <c r="E92" s="97" t="s">
        <v>459</v>
      </c>
      <c r="F92" s="92" t="s">
        <v>1300</v>
      </c>
      <c r="G92" s="92" t="s">
        <v>29</v>
      </c>
      <c r="H92" s="92" t="s">
        <v>29</v>
      </c>
      <c r="I92" s="116" t="s">
        <v>29</v>
      </c>
      <c r="J92" s="89"/>
      <c r="K92" s="89"/>
      <c r="L92" s="89"/>
      <c r="M92" s="96" t="s">
        <v>933</v>
      </c>
      <c r="N92" s="108"/>
      <c r="O92" s="92">
        <v>4</v>
      </c>
      <c r="P92" s="93" t="s">
        <v>1339</v>
      </c>
      <c r="Q92" s="97" t="s">
        <v>461</v>
      </c>
      <c r="R92" s="92" t="s">
        <v>1300</v>
      </c>
      <c r="S92" s="92" t="s">
        <v>29</v>
      </c>
      <c r="T92" s="92" t="s">
        <v>29</v>
      </c>
      <c r="U92" s="116" t="s">
        <v>29</v>
      </c>
    </row>
    <row r="93" spans="1:21" ht="13.2" x14ac:dyDescent="0.25">
      <c r="A93" s="67" t="s">
        <v>931</v>
      </c>
      <c r="B93" s="169"/>
      <c r="C93" s="92">
        <v>5</v>
      </c>
      <c r="D93" s="93" t="s">
        <v>1340</v>
      </c>
      <c r="E93" s="97" t="s">
        <v>282</v>
      </c>
      <c r="F93" s="92" t="s">
        <v>6</v>
      </c>
      <c r="G93" s="92" t="s">
        <v>29</v>
      </c>
      <c r="H93" s="92" t="s">
        <v>29</v>
      </c>
      <c r="I93" s="116" t="s">
        <v>29</v>
      </c>
      <c r="J93" s="89"/>
      <c r="K93" s="89"/>
      <c r="L93" s="89"/>
      <c r="M93" s="96" t="s">
        <v>29</v>
      </c>
      <c r="N93" s="108"/>
      <c r="O93" s="92" t="s">
        <v>29</v>
      </c>
      <c r="P93" s="93" t="s">
        <v>29</v>
      </c>
      <c r="Q93" s="97" t="s">
        <v>29</v>
      </c>
      <c r="R93" s="92" t="s">
        <v>29</v>
      </c>
      <c r="S93" s="92" t="s">
        <v>29</v>
      </c>
      <c r="T93" s="92" t="s">
        <v>29</v>
      </c>
      <c r="U93" s="116" t="s">
        <v>29</v>
      </c>
    </row>
    <row r="94" spans="1:21" ht="13.2" x14ac:dyDescent="0.25">
      <c r="A94" s="67" t="s">
        <v>931</v>
      </c>
      <c r="B94" s="169"/>
      <c r="C94" s="92">
        <v>6</v>
      </c>
      <c r="D94" s="93" t="s">
        <v>1341</v>
      </c>
      <c r="E94" s="97" t="s">
        <v>284</v>
      </c>
      <c r="F94" s="92" t="s">
        <v>6</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931</v>
      </c>
      <c r="B95" s="169"/>
      <c r="C95" s="92">
        <v>7</v>
      </c>
      <c r="D95" s="93" t="s">
        <v>1342</v>
      </c>
      <c r="E95" s="97" t="s">
        <v>283</v>
      </c>
      <c r="F95" s="92" t="s">
        <v>6</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29</v>
      </c>
      <c r="B96" s="169"/>
      <c r="C96" s="92" t="s">
        <v>29</v>
      </c>
      <c r="D96" s="93" t="s">
        <v>29</v>
      </c>
      <c r="E96" s="97" t="s">
        <v>29</v>
      </c>
      <c r="F96" s="92" t="s">
        <v>29</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29</v>
      </c>
      <c r="B97" s="169"/>
      <c r="C97" s="92" t="s">
        <v>29</v>
      </c>
      <c r="D97" s="93" t="s">
        <v>29</v>
      </c>
      <c r="E97" s="97" t="s">
        <v>29</v>
      </c>
      <c r="F97" s="92" t="s">
        <v>29</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69"/>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69"/>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69"/>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69"/>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69"/>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69"/>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69"/>
      <c r="C104" s="219" t="s">
        <v>995</v>
      </c>
      <c r="D104" s="220"/>
      <c r="E104" s="220"/>
      <c r="F104" s="220"/>
      <c r="G104" s="99">
        <v>3</v>
      </c>
      <c r="H104" s="99">
        <v>6</v>
      </c>
      <c r="I104" s="116" t="s">
        <v>29</v>
      </c>
      <c r="J104" s="89"/>
      <c r="K104" s="89"/>
      <c r="L104" s="89"/>
      <c r="M104" s="96" t="s">
        <v>29</v>
      </c>
      <c r="N104" s="108"/>
      <c r="O104" s="219" t="s">
        <v>996</v>
      </c>
      <c r="P104" s="220"/>
      <c r="Q104" s="220"/>
      <c r="R104" s="220"/>
      <c r="S104" s="99">
        <v>4</v>
      </c>
      <c r="T104" s="99">
        <v>5</v>
      </c>
      <c r="U104" s="116" t="s">
        <v>29</v>
      </c>
    </row>
    <row r="105" spans="1:21" ht="13.2" x14ac:dyDescent="0.25">
      <c r="A105" s="67"/>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C106" s="118" t="s">
        <v>997</v>
      </c>
      <c r="D106" s="89"/>
      <c r="E106" s="89"/>
      <c r="F106" s="89"/>
      <c r="G106" s="89"/>
      <c r="H106" s="89"/>
      <c r="I106" s="89" t="s">
        <v>29</v>
      </c>
      <c r="J106" s="89"/>
      <c r="K106" s="89"/>
      <c r="L106" s="89"/>
      <c r="M106" s="96"/>
      <c r="N106" s="119"/>
      <c r="O106" s="120" t="s">
        <v>998</v>
      </c>
      <c r="P106" s="119"/>
      <c r="Q106" s="221" t="s">
        <v>1343</v>
      </c>
      <c r="R106" s="220"/>
      <c r="S106" s="220"/>
      <c r="T106" s="222"/>
      <c r="U106" s="66" t="s">
        <v>29</v>
      </c>
    </row>
    <row r="107" spans="1:21" ht="13.2" x14ac:dyDescent="0.25">
      <c r="A107" s="67"/>
      <c r="C107" s="245" t="s">
        <v>1344</v>
      </c>
      <c r="D107" s="227"/>
      <c r="E107" s="227"/>
      <c r="F107" s="227"/>
      <c r="G107" s="227"/>
      <c r="H107" s="228"/>
      <c r="I107" s="89" t="s">
        <v>29</v>
      </c>
      <c r="J107" s="89"/>
      <c r="K107" s="89"/>
      <c r="L107" s="89"/>
      <c r="M107" s="96"/>
      <c r="N107" s="119"/>
      <c r="O107" s="120" t="s">
        <v>1001</v>
      </c>
      <c r="P107" s="121"/>
      <c r="Q107" s="221" t="s">
        <v>1345</v>
      </c>
      <c r="R107" s="220"/>
      <c r="S107" s="220"/>
      <c r="T107" s="222"/>
      <c r="U107" s="66" t="s">
        <v>29</v>
      </c>
    </row>
    <row r="108" spans="1:21" ht="13.2" x14ac:dyDescent="0.25">
      <c r="A108" s="67"/>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C109" s="118" t="s">
        <v>1003</v>
      </c>
      <c r="D109" s="122"/>
      <c r="E109" s="225" t="s">
        <v>1345</v>
      </c>
      <c r="F109" s="220"/>
      <c r="G109" s="220"/>
      <c r="H109" s="222"/>
      <c r="I109" s="89" t="s">
        <v>29</v>
      </c>
      <c r="J109" s="89"/>
      <c r="K109" s="89"/>
      <c r="L109" s="89"/>
      <c r="M109" s="96"/>
      <c r="N109" s="119"/>
      <c r="O109" s="118" t="s">
        <v>1004</v>
      </c>
      <c r="P109" s="122"/>
      <c r="Q109" s="225" t="s">
        <v>1346</v>
      </c>
      <c r="R109" s="220"/>
      <c r="S109" s="220"/>
      <c r="T109" s="222"/>
      <c r="U109" s="66" t="s">
        <v>29</v>
      </c>
    </row>
    <row r="110" spans="1:21" ht="13.2" x14ac:dyDescent="0.25">
      <c r="A110" s="67"/>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C111" s="242"/>
      <c r="D111" s="227"/>
      <c r="E111" s="227"/>
      <c r="F111" s="227"/>
      <c r="G111" s="227"/>
      <c r="H111" s="228"/>
      <c r="I111" s="66" t="s">
        <v>29</v>
      </c>
      <c r="J111" s="66"/>
      <c r="K111" s="66"/>
      <c r="L111" s="66"/>
      <c r="M111" s="74"/>
      <c r="N111" s="123"/>
      <c r="O111" s="226"/>
      <c r="P111" s="227"/>
      <c r="Q111" s="227"/>
      <c r="R111" s="227"/>
      <c r="S111" s="227"/>
      <c r="T111" s="228"/>
      <c r="U111" s="66" t="s">
        <v>29</v>
      </c>
    </row>
    <row r="112" spans="1:21" ht="13.2" x14ac:dyDescent="0.25">
      <c r="A112" s="67"/>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5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58"/>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59"/>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39"/>
      <c r="C119" s="257" t="s">
        <v>859</v>
      </c>
      <c r="D119" s="220"/>
      <c r="E119" s="271" t="s">
        <v>876</v>
      </c>
      <c r="F119" s="220"/>
      <c r="G119" s="222"/>
      <c r="H119" s="150" t="s">
        <v>1347</v>
      </c>
      <c r="I119" s="151" t="s">
        <v>29</v>
      </c>
      <c r="J119" s="152"/>
      <c r="K119" s="152"/>
      <c r="L119" s="152"/>
      <c r="M119" s="153"/>
      <c r="N119" s="64"/>
      <c r="O119" s="236" t="s">
        <v>860</v>
      </c>
      <c r="P119" s="220"/>
      <c r="Q119" s="261" t="s">
        <v>877</v>
      </c>
      <c r="R119" s="220"/>
      <c r="S119" s="222"/>
      <c r="T119" s="154" t="s">
        <v>1348</v>
      </c>
      <c r="U119" s="155" t="s">
        <v>29</v>
      </c>
    </row>
    <row r="120" spans="1:21" ht="17.399999999999999" x14ac:dyDescent="0.25">
      <c r="A120" s="67"/>
      <c r="B120" s="145"/>
      <c r="C120" s="265" t="s">
        <v>2</v>
      </c>
      <c r="D120" s="222"/>
      <c r="E120" s="266">
        <v>43</v>
      </c>
      <c r="F120" s="220"/>
      <c r="G120" s="220"/>
      <c r="H120" s="157"/>
      <c r="I120" s="151" t="s">
        <v>29</v>
      </c>
      <c r="J120" s="158"/>
      <c r="K120" s="158"/>
      <c r="L120" s="158"/>
      <c r="M120" s="159"/>
      <c r="N120" s="64"/>
      <c r="O120" s="262" t="s">
        <v>2</v>
      </c>
      <c r="P120" s="222"/>
      <c r="Q120" s="263">
        <v>29</v>
      </c>
      <c r="R120" s="220"/>
      <c r="S120" s="220"/>
      <c r="T120" s="160"/>
      <c r="U120" s="155" t="s">
        <v>29</v>
      </c>
    </row>
    <row r="121" spans="1:21" ht="13.2" x14ac:dyDescent="0.25">
      <c r="A121" s="67"/>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C123" s="68" t="s">
        <v>919</v>
      </c>
      <c r="D123" s="161" t="s">
        <v>920</v>
      </c>
      <c r="E123" s="68"/>
      <c r="F123" s="68"/>
      <c r="G123" s="78">
        <v>8</v>
      </c>
      <c r="H123" s="79">
        <v>1</v>
      </c>
      <c r="I123" s="66" t="s">
        <v>29</v>
      </c>
      <c r="J123" s="66"/>
      <c r="K123" s="66"/>
      <c r="L123" s="66"/>
      <c r="M123" s="74"/>
      <c r="N123" s="66"/>
      <c r="O123" s="68" t="s">
        <v>921</v>
      </c>
      <c r="P123" s="161" t="s">
        <v>922</v>
      </c>
      <c r="Q123" s="68"/>
      <c r="R123" s="68"/>
      <c r="S123" s="78">
        <v>9</v>
      </c>
      <c r="T123" s="79">
        <v>0</v>
      </c>
      <c r="U123" s="66" t="s">
        <v>29</v>
      </c>
    </row>
    <row r="124" spans="1:21" ht="13.2" x14ac:dyDescent="0.25">
      <c r="A124" s="67"/>
      <c r="C124" s="68" t="s">
        <v>923</v>
      </c>
      <c r="D124" s="161" t="s">
        <v>924</v>
      </c>
      <c r="E124" s="68"/>
      <c r="F124" s="68"/>
      <c r="G124" s="78">
        <v>6</v>
      </c>
      <c r="H124" s="79">
        <v>3</v>
      </c>
      <c r="I124" s="66" t="s">
        <v>29</v>
      </c>
      <c r="J124" s="66"/>
      <c r="K124" s="66"/>
      <c r="L124" s="66"/>
      <c r="M124" s="74"/>
      <c r="N124" s="66"/>
      <c r="O124" s="68" t="s">
        <v>925</v>
      </c>
      <c r="P124" s="161" t="s">
        <v>926</v>
      </c>
      <c r="Q124" s="68"/>
      <c r="R124" s="68"/>
      <c r="S124" s="78">
        <v>9</v>
      </c>
      <c r="T124" s="79">
        <v>0</v>
      </c>
      <c r="U124" s="66" t="s">
        <v>29</v>
      </c>
    </row>
    <row r="125" spans="1:21" ht="13.2" x14ac:dyDescent="0.25">
      <c r="A125" s="67"/>
      <c r="C125" s="68" t="s">
        <v>927</v>
      </c>
      <c r="D125" s="161" t="s">
        <v>928</v>
      </c>
      <c r="E125" s="68"/>
      <c r="F125" s="68"/>
      <c r="G125" s="78">
        <v>4</v>
      </c>
      <c r="H125" s="79">
        <v>5</v>
      </c>
      <c r="I125" s="66" t="s">
        <v>29</v>
      </c>
      <c r="J125" s="66"/>
      <c r="K125" s="66"/>
      <c r="L125" s="66"/>
      <c r="M125" s="74"/>
      <c r="N125" s="66"/>
      <c r="O125" s="68" t="s">
        <v>929</v>
      </c>
      <c r="P125" s="161" t="s">
        <v>930</v>
      </c>
      <c r="Q125" s="68"/>
      <c r="R125" s="68"/>
      <c r="S125" s="78">
        <v>1</v>
      </c>
      <c r="T125" s="79">
        <v>8</v>
      </c>
      <c r="U125" s="66" t="s">
        <v>29</v>
      </c>
    </row>
    <row r="126" spans="1:21" ht="13.2" x14ac:dyDescent="0.25">
      <c r="A126" s="67"/>
      <c r="C126" s="68" t="s">
        <v>931</v>
      </c>
      <c r="D126" s="161" t="s">
        <v>932</v>
      </c>
      <c r="E126" s="68"/>
      <c r="F126" s="68"/>
      <c r="G126" s="78">
        <v>1</v>
      </c>
      <c r="H126" s="79">
        <v>8</v>
      </c>
      <c r="I126" s="66" t="s">
        <v>29</v>
      </c>
      <c r="J126" s="66"/>
      <c r="K126" s="66"/>
      <c r="L126" s="66"/>
      <c r="M126" s="74"/>
      <c r="N126" s="66"/>
      <c r="O126" s="68" t="s">
        <v>933</v>
      </c>
      <c r="P126" s="161" t="s">
        <v>934</v>
      </c>
      <c r="Q126" s="68"/>
      <c r="R126" s="68"/>
      <c r="S126" s="78">
        <v>5</v>
      </c>
      <c r="T126" s="79">
        <v>4</v>
      </c>
      <c r="U126" s="66" t="s">
        <v>29</v>
      </c>
    </row>
    <row r="127" spans="1:21" ht="13.2" x14ac:dyDescent="0.25">
      <c r="A127" s="67"/>
      <c r="C127" s="80"/>
      <c r="D127" s="162" t="s">
        <v>935</v>
      </c>
      <c r="E127" s="162"/>
      <c r="F127" s="162"/>
      <c r="G127" s="72">
        <v>19</v>
      </c>
      <c r="H127" s="73">
        <v>17</v>
      </c>
      <c r="I127" s="66" t="s">
        <v>29</v>
      </c>
      <c r="J127" s="66"/>
      <c r="K127" s="66"/>
      <c r="L127" s="66"/>
      <c r="M127" s="74"/>
      <c r="N127" s="66"/>
      <c r="O127" s="80"/>
      <c r="P127" s="162" t="s">
        <v>935</v>
      </c>
      <c r="Q127" s="162"/>
      <c r="R127" s="162"/>
      <c r="S127" s="72">
        <v>24</v>
      </c>
      <c r="T127" s="73">
        <v>12</v>
      </c>
      <c r="U127" s="66" t="s">
        <v>29</v>
      </c>
    </row>
    <row r="128" spans="1:21" ht="13.2" x14ac:dyDescent="0.25">
      <c r="A128" s="67"/>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165"/>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165"/>
      <c r="C132" s="92">
        <v>1</v>
      </c>
      <c r="D132" s="93" t="s">
        <v>1349</v>
      </c>
      <c r="E132" s="94" t="s">
        <v>249</v>
      </c>
      <c r="F132" s="92" t="s">
        <v>1347</v>
      </c>
      <c r="G132" s="92">
        <v>5</v>
      </c>
      <c r="H132" s="92" t="s">
        <v>29</v>
      </c>
      <c r="I132" s="115" t="s">
        <v>29</v>
      </c>
      <c r="J132" s="89"/>
      <c r="K132" s="89"/>
      <c r="L132" s="89"/>
      <c r="M132" s="96" t="s">
        <v>921</v>
      </c>
      <c r="N132" s="84"/>
      <c r="O132" s="92">
        <v>1</v>
      </c>
      <c r="P132" s="93" t="s">
        <v>1350</v>
      </c>
      <c r="Q132" s="94" t="s">
        <v>252</v>
      </c>
      <c r="R132" s="92" t="s">
        <v>1347</v>
      </c>
      <c r="S132" s="92">
        <v>5</v>
      </c>
      <c r="T132" s="92" t="s">
        <v>29</v>
      </c>
      <c r="U132" s="115" t="s">
        <v>29</v>
      </c>
    </row>
    <row r="133" spans="1:21" ht="13.2" x14ac:dyDescent="0.25">
      <c r="A133" s="67" t="s">
        <v>919</v>
      </c>
      <c r="B133" s="165"/>
      <c r="C133" s="92">
        <v>2</v>
      </c>
      <c r="D133" s="93" t="s">
        <v>1351</v>
      </c>
      <c r="E133" s="97" t="s">
        <v>137</v>
      </c>
      <c r="F133" s="92" t="s">
        <v>1347</v>
      </c>
      <c r="G133" s="92">
        <v>3</v>
      </c>
      <c r="H133" s="92" t="s">
        <v>29</v>
      </c>
      <c r="I133" s="115" t="s">
        <v>29</v>
      </c>
      <c r="J133" s="89"/>
      <c r="K133" s="89"/>
      <c r="L133" s="89"/>
      <c r="M133" s="96" t="s">
        <v>921</v>
      </c>
      <c r="N133" s="84"/>
      <c r="O133" s="92">
        <v>2</v>
      </c>
      <c r="P133" s="93" t="s">
        <v>1352</v>
      </c>
      <c r="Q133" s="97" t="s">
        <v>251</v>
      </c>
      <c r="R133" s="92" t="s">
        <v>1347</v>
      </c>
      <c r="S133" s="92">
        <v>3</v>
      </c>
      <c r="T133" s="92" t="s">
        <v>29</v>
      </c>
      <c r="U133" s="115" t="s">
        <v>29</v>
      </c>
    </row>
    <row r="134" spans="1:21" ht="13.2" x14ac:dyDescent="0.25">
      <c r="A134" s="67" t="s">
        <v>919</v>
      </c>
      <c r="B134" s="165"/>
      <c r="C134" s="92">
        <v>3</v>
      </c>
      <c r="D134" s="93" t="s">
        <v>1353</v>
      </c>
      <c r="E134" s="97" t="s">
        <v>846</v>
      </c>
      <c r="F134" s="92" t="s">
        <v>1348</v>
      </c>
      <c r="G134" s="92" t="s">
        <v>29</v>
      </c>
      <c r="H134" s="92">
        <v>1</v>
      </c>
      <c r="I134" s="115" t="s">
        <v>29</v>
      </c>
      <c r="J134" s="89"/>
      <c r="K134" s="89"/>
      <c r="L134" s="89"/>
      <c r="M134" s="96" t="s">
        <v>921</v>
      </c>
      <c r="N134" s="84"/>
      <c r="O134" s="92">
        <v>3</v>
      </c>
      <c r="P134" s="93" t="s">
        <v>1354</v>
      </c>
      <c r="Q134" s="97" t="s">
        <v>138</v>
      </c>
      <c r="R134" s="92" t="s">
        <v>1347</v>
      </c>
      <c r="S134" s="92">
        <v>1</v>
      </c>
      <c r="T134" s="92" t="s">
        <v>29</v>
      </c>
      <c r="U134" s="115" t="s">
        <v>29</v>
      </c>
    </row>
    <row r="135" spans="1:21" ht="13.2" x14ac:dyDescent="0.25">
      <c r="A135" s="67" t="s">
        <v>919</v>
      </c>
      <c r="B135" s="165"/>
      <c r="C135" s="92">
        <v>4</v>
      </c>
      <c r="D135" s="93" t="s">
        <v>1355</v>
      </c>
      <c r="E135" s="97" t="s">
        <v>845</v>
      </c>
      <c r="F135" s="92" t="s">
        <v>1348</v>
      </c>
      <c r="G135" s="92" t="s">
        <v>29</v>
      </c>
      <c r="H135" s="92" t="s">
        <v>29</v>
      </c>
      <c r="I135" s="115" t="s">
        <v>29</v>
      </c>
      <c r="J135" s="89"/>
      <c r="K135" s="89"/>
      <c r="L135" s="89"/>
      <c r="M135" s="96" t="s">
        <v>921</v>
      </c>
      <c r="N135" s="84"/>
      <c r="O135" s="92">
        <v>4</v>
      </c>
      <c r="P135" s="93" t="s">
        <v>1356</v>
      </c>
      <c r="Q135" s="97" t="s">
        <v>847</v>
      </c>
      <c r="R135" s="92" t="s">
        <v>1348</v>
      </c>
      <c r="S135" s="92" t="s">
        <v>29</v>
      </c>
      <c r="T135" s="92" t="s">
        <v>29</v>
      </c>
      <c r="U135" s="115" t="s">
        <v>29</v>
      </c>
    </row>
    <row r="136" spans="1:21" ht="13.2" x14ac:dyDescent="0.25">
      <c r="A136" s="67" t="s">
        <v>919</v>
      </c>
      <c r="B136" s="165"/>
      <c r="C136" s="92">
        <v>5</v>
      </c>
      <c r="D136" s="93" t="s">
        <v>1357</v>
      </c>
      <c r="E136" s="97" t="s">
        <v>353</v>
      </c>
      <c r="F136" s="92" t="s">
        <v>1348</v>
      </c>
      <c r="G136" s="92" t="s">
        <v>29</v>
      </c>
      <c r="H136" s="92" t="s">
        <v>29</v>
      </c>
      <c r="I136" s="115" t="s">
        <v>29</v>
      </c>
      <c r="J136" s="89"/>
      <c r="K136" s="89"/>
      <c r="L136" s="89"/>
      <c r="M136" s="96" t="s">
        <v>921</v>
      </c>
      <c r="N136" s="84"/>
      <c r="O136" s="92">
        <v>5</v>
      </c>
      <c r="P136" s="93" t="s">
        <v>1358</v>
      </c>
      <c r="Q136" s="97" t="s">
        <v>253</v>
      </c>
      <c r="R136" s="92" t="s">
        <v>1347</v>
      </c>
      <c r="S136" s="92" t="s">
        <v>29</v>
      </c>
      <c r="T136" s="92" t="s">
        <v>29</v>
      </c>
      <c r="U136" s="115" t="s">
        <v>29</v>
      </c>
    </row>
    <row r="137" spans="1:21" ht="13.2" x14ac:dyDescent="0.25">
      <c r="A137" s="67" t="s">
        <v>919</v>
      </c>
      <c r="B137" s="165"/>
      <c r="C137" s="92">
        <v>6</v>
      </c>
      <c r="D137" s="93" t="s">
        <v>1359</v>
      </c>
      <c r="E137" s="97" t="s">
        <v>247</v>
      </c>
      <c r="F137" s="92" t="s">
        <v>1347</v>
      </c>
      <c r="G137" s="92" t="s">
        <v>29</v>
      </c>
      <c r="H137" s="92" t="s">
        <v>29</v>
      </c>
      <c r="I137" s="115" t="s">
        <v>29</v>
      </c>
      <c r="J137" s="89"/>
      <c r="K137" s="89"/>
      <c r="L137" s="89"/>
      <c r="M137" s="96" t="s">
        <v>921</v>
      </c>
      <c r="N137" s="84"/>
      <c r="O137" s="92">
        <v>6</v>
      </c>
      <c r="P137" s="93" t="s">
        <v>1360</v>
      </c>
      <c r="Q137" s="97" t="s">
        <v>254</v>
      </c>
      <c r="R137" s="92" t="s">
        <v>1347</v>
      </c>
      <c r="S137" s="92" t="s">
        <v>29</v>
      </c>
      <c r="T137" s="92" t="s">
        <v>29</v>
      </c>
      <c r="U137" s="115" t="s">
        <v>29</v>
      </c>
    </row>
    <row r="138" spans="1:21" ht="13.2" x14ac:dyDescent="0.25">
      <c r="A138" s="67" t="s">
        <v>919</v>
      </c>
      <c r="B138" s="165"/>
      <c r="C138" s="92">
        <v>7</v>
      </c>
      <c r="D138" s="93" t="s">
        <v>1361</v>
      </c>
      <c r="E138" s="97" t="s">
        <v>844</v>
      </c>
      <c r="F138" s="92" t="s">
        <v>1348</v>
      </c>
      <c r="G138" s="92" t="s">
        <v>29</v>
      </c>
      <c r="H138" s="92" t="s">
        <v>29</v>
      </c>
      <c r="I138" s="115" t="s">
        <v>29</v>
      </c>
      <c r="J138" s="89"/>
      <c r="K138" s="89"/>
      <c r="L138" s="89"/>
      <c r="M138" s="96" t="s">
        <v>29</v>
      </c>
      <c r="N138" s="84"/>
      <c r="O138" s="92" t="s">
        <v>29</v>
      </c>
      <c r="P138" s="93" t="s">
        <v>29</v>
      </c>
      <c r="Q138" s="97" t="s">
        <v>29</v>
      </c>
      <c r="R138" s="92" t="s">
        <v>29</v>
      </c>
      <c r="S138" s="92" t="s">
        <v>29</v>
      </c>
      <c r="T138" s="92" t="s">
        <v>29</v>
      </c>
      <c r="U138" s="115" t="s">
        <v>29</v>
      </c>
    </row>
    <row r="139" spans="1:21" ht="13.2" x14ac:dyDescent="0.25">
      <c r="A139" s="67" t="s">
        <v>919</v>
      </c>
      <c r="B139" s="165"/>
      <c r="C139" s="92">
        <v>8</v>
      </c>
      <c r="D139" s="98" t="s">
        <v>1362</v>
      </c>
      <c r="E139" s="97" t="s">
        <v>246</v>
      </c>
      <c r="F139" s="92" t="s">
        <v>1347</v>
      </c>
      <c r="G139" s="92" t="s">
        <v>29</v>
      </c>
      <c r="H139" s="92" t="s">
        <v>29</v>
      </c>
      <c r="I139" s="115" t="s">
        <v>29</v>
      </c>
      <c r="J139" s="89"/>
      <c r="K139" s="89"/>
      <c r="L139" s="89"/>
      <c r="M139" s="96" t="s">
        <v>29</v>
      </c>
      <c r="N139" s="84"/>
      <c r="O139" s="92" t="s">
        <v>29</v>
      </c>
      <c r="P139" s="93" t="s">
        <v>29</v>
      </c>
      <c r="Q139" s="97" t="s">
        <v>29</v>
      </c>
      <c r="R139" s="92" t="s">
        <v>29</v>
      </c>
      <c r="S139" s="92" t="s">
        <v>29</v>
      </c>
      <c r="T139" s="92" t="s">
        <v>29</v>
      </c>
      <c r="U139" s="115" t="s">
        <v>29</v>
      </c>
    </row>
    <row r="140" spans="1:21" ht="13.2" x14ac:dyDescent="0.25">
      <c r="A140" s="67" t="s">
        <v>919</v>
      </c>
      <c r="B140" s="165"/>
      <c r="C140" s="92">
        <v>9</v>
      </c>
      <c r="D140" s="98" t="s">
        <v>1363</v>
      </c>
      <c r="E140" s="97" t="s">
        <v>250</v>
      </c>
      <c r="F140" s="92" t="s">
        <v>1347</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919</v>
      </c>
      <c r="B141" s="165"/>
      <c r="C141" s="92">
        <v>10</v>
      </c>
      <c r="D141" s="98" t="s">
        <v>1364</v>
      </c>
      <c r="E141" s="97" t="s">
        <v>248</v>
      </c>
      <c r="F141" s="92" t="s">
        <v>1347</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919</v>
      </c>
      <c r="B142" s="165"/>
      <c r="C142" s="92">
        <v>11</v>
      </c>
      <c r="D142" s="98" t="s">
        <v>1365</v>
      </c>
      <c r="E142" s="97" t="s">
        <v>37</v>
      </c>
      <c r="F142" s="92" t="s">
        <v>1347</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29</v>
      </c>
      <c r="B143" s="165"/>
      <c r="C143" s="92" t="s">
        <v>29</v>
      </c>
      <c r="D143" s="98" t="s">
        <v>29</v>
      </c>
      <c r="E143" s="97" t="s">
        <v>29</v>
      </c>
      <c r="F143" s="92" t="s">
        <v>29</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165"/>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165"/>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165"/>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165"/>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165"/>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165"/>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165"/>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165"/>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165"/>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165"/>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165"/>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165"/>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165"/>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165"/>
      <c r="C157" s="219" t="s">
        <v>954</v>
      </c>
      <c r="D157" s="220"/>
      <c r="E157" s="220"/>
      <c r="F157" s="220"/>
      <c r="G157" s="99">
        <v>8</v>
      </c>
      <c r="H157" s="99">
        <v>1</v>
      </c>
      <c r="I157" s="115" t="s">
        <v>29</v>
      </c>
      <c r="J157" s="89"/>
      <c r="K157" s="89"/>
      <c r="L157" s="89"/>
      <c r="M157" s="96" t="s">
        <v>29</v>
      </c>
      <c r="N157" s="84"/>
      <c r="O157" s="219" t="s">
        <v>955</v>
      </c>
      <c r="P157" s="220"/>
      <c r="Q157" s="220"/>
      <c r="R157" s="220"/>
      <c r="S157" s="99">
        <v>9</v>
      </c>
      <c r="T157" s="99">
        <v>0</v>
      </c>
      <c r="U157" s="115" t="s">
        <v>29</v>
      </c>
    </row>
    <row r="158" spans="1:21" ht="13.2" x14ac:dyDescent="0.25">
      <c r="A158" s="67" t="s">
        <v>29</v>
      </c>
      <c r="B158" s="166"/>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67"/>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68"/>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69"/>
      <c r="C161" s="92">
        <v>1</v>
      </c>
      <c r="D161" s="93" t="s">
        <v>1366</v>
      </c>
      <c r="E161" s="94" t="s">
        <v>68</v>
      </c>
      <c r="F161" s="92" t="s">
        <v>1347</v>
      </c>
      <c r="G161" s="92">
        <v>5</v>
      </c>
      <c r="H161" s="92" t="s">
        <v>29</v>
      </c>
      <c r="I161" s="116" t="s">
        <v>29</v>
      </c>
      <c r="J161" s="89"/>
      <c r="K161" s="89"/>
      <c r="L161" s="89"/>
      <c r="M161" s="96" t="s">
        <v>925</v>
      </c>
      <c r="N161" s="108"/>
      <c r="O161" s="92">
        <v>1</v>
      </c>
      <c r="P161" s="93" t="s">
        <v>1367</v>
      </c>
      <c r="Q161" s="94" t="s">
        <v>263</v>
      </c>
      <c r="R161" s="92" t="s">
        <v>1347</v>
      </c>
      <c r="S161" s="92">
        <v>5</v>
      </c>
      <c r="T161" s="92" t="s">
        <v>29</v>
      </c>
      <c r="U161" s="116" t="s">
        <v>29</v>
      </c>
    </row>
    <row r="162" spans="1:21" ht="13.2" x14ac:dyDescent="0.25">
      <c r="A162" s="67" t="s">
        <v>923</v>
      </c>
      <c r="B162" s="169"/>
      <c r="C162" s="92">
        <v>2</v>
      </c>
      <c r="D162" s="93" t="s">
        <v>1368</v>
      </c>
      <c r="E162" s="97" t="s">
        <v>437</v>
      </c>
      <c r="F162" s="92" t="s">
        <v>1348</v>
      </c>
      <c r="G162" s="92" t="s">
        <v>29</v>
      </c>
      <c r="H162" s="92">
        <v>3</v>
      </c>
      <c r="I162" s="116" t="s">
        <v>29</v>
      </c>
      <c r="J162" s="89"/>
      <c r="K162" s="89"/>
      <c r="L162" s="89"/>
      <c r="M162" s="96" t="s">
        <v>925</v>
      </c>
      <c r="N162" s="108"/>
      <c r="O162" s="92">
        <v>2</v>
      </c>
      <c r="P162" s="93" t="s">
        <v>1369</v>
      </c>
      <c r="Q162" s="97" t="s">
        <v>262</v>
      </c>
      <c r="R162" s="92" t="s">
        <v>1347</v>
      </c>
      <c r="S162" s="92">
        <v>3</v>
      </c>
      <c r="T162" s="92" t="s">
        <v>29</v>
      </c>
      <c r="U162" s="116" t="s">
        <v>29</v>
      </c>
    </row>
    <row r="163" spans="1:21" ht="13.2" x14ac:dyDescent="0.25">
      <c r="A163" s="67" t="s">
        <v>923</v>
      </c>
      <c r="B163" s="169"/>
      <c r="C163" s="92">
        <v>3</v>
      </c>
      <c r="D163" s="93" t="s">
        <v>1370</v>
      </c>
      <c r="E163" s="97" t="s">
        <v>260</v>
      </c>
      <c r="F163" s="92" t="s">
        <v>1347</v>
      </c>
      <c r="G163" s="92">
        <v>1</v>
      </c>
      <c r="H163" s="92" t="s">
        <v>29</v>
      </c>
      <c r="I163" s="116" t="s">
        <v>29</v>
      </c>
      <c r="J163" s="89"/>
      <c r="K163" s="89"/>
      <c r="L163" s="89"/>
      <c r="M163" s="96" t="s">
        <v>925</v>
      </c>
      <c r="N163" s="108"/>
      <c r="O163" s="92">
        <v>3</v>
      </c>
      <c r="P163" s="93" t="s">
        <v>1371</v>
      </c>
      <c r="Q163" s="97" t="s">
        <v>261</v>
      </c>
      <c r="R163" s="92" t="s">
        <v>1347</v>
      </c>
      <c r="S163" s="92">
        <v>1</v>
      </c>
      <c r="T163" s="92" t="s">
        <v>29</v>
      </c>
      <c r="U163" s="116" t="s">
        <v>29</v>
      </c>
    </row>
    <row r="164" spans="1:21" ht="13.2" x14ac:dyDescent="0.25">
      <c r="A164" s="67" t="s">
        <v>923</v>
      </c>
      <c r="B164" s="169"/>
      <c r="C164" s="92">
        <v>4</v>
      </c>
      <c r="D164" s="93" t="s">
        <v>1372</v>
      </c>
      <c r="E164" s="97" t="s">
        <v>259</v>
      </c>
      <c r="F164" s="92" t="s">
        <v>1347</v>
      </c>
      <c r="G164" s="92" t="s">
        <v>29</v>
      </c>
      <c r="H164" s="92" t="s">
        <v>29</v>
      </c>
      <c r="I164" s="116" t="s">
        <v>29</v>
      </c>
      <c r="J164" s="89"/>
      <c r="K164" s="89"/>
      <c r="L164" s="89"/>
      <c r="M164" s="96" t="s">
        <v>29</v>
      </c>
      <c r="N164" s="108"/>
      <c r="O164" s="92" t="s">
        <v>29</v>
      </c>
      <c r="P164" s="93" t="s">
        <v>29</v>
      </c>
      <c r="Q164" s="97" t="s">
        <v>29</v>
      </c>
      <c r="R164" s="92" t="s">
        <v>29</v>
      </c>
      <c r="S164" s="92" t="s">
        <v>29</v>
      </c>
      <c r="T164" s="92" t="s">
        <v>29</v>
      </c>
      <c r="U164" s="116" t="s">
        <v>29</v>
      </c>
    </row>
    <row r="165" spans="1:21" ht="13.2" x14ac:dyDescent="0.25">
      <c r="A165" s="67" t="s">
        <v>923</v>
      </c>
      <c r="B165" s="169"/>
      <c r="C165" s="92">
        <v>5</v>
      </c>
      <c r="D165" s="93" t="s">
        <v>1373</v>
      </c>
      <c r="E165" s="97" t="s">
        <v>258</v>
      </c>
      <c r="F165" s="92" t="s">
        <v>1347</v>
      </c>
      <c r="G165" s="92" t="s">
        <v>29</v>
      </c>
      <c r="H165" s="92" t="s">
        <v>29</v>
      </c>
      <c r="I165" s="116" t="s">
        <v>29</v>
      </c>
      <c r="J165" s="89"/>
      <c r="K165" s="89"/>
      <c r="L165" s="89"/>
      <c r="M165" s="96" t="s">
        <v>29</v>
      </c>
      <c r="N165" s="108"/>
      <c r="O165" s="92" t="s">
        <v>29</v>
      </c>
      <c r="P165" s="93" t="s">
        <v>29</v>
      </c>
      <c r="Q165" s="97" t="s">
        <v>29</v>
      </c>
      <c r="R165" s="92" t="s">
        <v>29</v>
      </c>
      <c r="S165" s="92" t="s">
        <v>29</v>
      </c>
      <c r="T165" s="92" t="s">
        <v>29</v>
      </c>
      <c r="U165" s="116" t="s">
        <v>29</v>
      </c>
    </row>
    <row r="166" spans="1:21" ht="13.2" x14ac:dyDescent="0.25">
      <c r="A166" s="67" t="s">
        <v>29</v>
      </c>
      <c r="B166" s="169"/>
      <c r="C166" s="92" t="s">
        <v>29</v>
      </c>
      <c r="D166" s="93" t="s">
        <v>29</v>
      </c>
      <c r="E166" s="97" t="s">
        <v>29</v>
      </c>
      <c r="F166" s="92" t="s">
        <v>29</v>
      </c>
      <c r="G166" s="92" t="s">
        <v>29</v>
      </c>
      <c r="H166" s="92" t="s">
        <v>29</v>
      </c>
      <c r="I166" s="116" t="s">
        <v>29</v>
      </c>
      <c r="J166" s="89"/>
      <c r="K166" s="89"/>
      <c r="L166" s="89"/>
      <c r="M166" s="96" t="s">
        <v>29</v>
      </c>
      <c r="N166" s="108"/>
      <c r="O166" s="92" t="s">
        <v>29</v>
      </c>
      <c r="P166" s="93" t="s">
        <v>29</v>
      </c>
      <c r="Q166" s="97" t="s">
        <v>29</v>
      </c>
      <c r="R166" s="92" t="s">
        <v>29</v>
      </c>
      <c r="S166" s="92" t="s">
        <v>29</v>
      </c>
      <c r="T166" s="92" t="s">
        <v>29</v>
      </c>
      <c r="U166" s="116" t="s">
        <v>29</v>
      </c>
    </row>
    <row r="167" spans="1:21" ht="13.2" x14ac:dyDescent="0.25">
      <c r="A167" s="67" t="s">
        <v>29</v>
      </c>
      <c r="B167" s="169"/>
      <c r="C167" s="92" t="s">
        <v>29</v>
      </c>
      <c r="D167" s="93" t="s">
        <v>29</v>
      </c>
      <c r="E167" s="97" t="s">
        <v>29</v>
      </c>
      <c r="F167" s="92" t="s">
        <v>29</v>
      </c>
      <c r="G167" s="92" t="s">
        <v>29</v>
      </c>
      <c r="H167" s="92" t="s">
        <v>29</v>
      </c>
      <c r="I167" s="116" t="s">
        <v>29</v>
      </c>
      <c r="J167" s="89"/>
      <c r="K167" s="89"/>
      <c r="L167" s="89"/>
      <c r="M167" s="96" t="s">
        <v>29</v>
      </c>
      <c r="N167" s="108"/>
      <c r="O167" s="92" t="s">
        <v>29</v>
      </c>
      <c r="P167" s="93" t="s">
        <v>29</v>
      </c>
      <c r="Q167" s="97" t="s">
        <v>29</v>
      </c>
      <c r="R167" s="92" t="s">
        <v>29</v>
      </c>
      <c r="S167" s="92" t="s">
        <v>29</v>
      </c>
      <c r="T167" s="92" t="s">
        <v>29</v>
      </c>
      <c r="U167" s="116" t="s">
        <v>29</v>
      </c>
    </row>
    <row r="168" spans="1:21" ht="13.2" x14ac:dyDescent="0.25">
      <c r="A168" s="67" t="s">
        <v>29</v>
      </c>
      <c r="B168" s="169"/>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69"/>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69"/>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69"/>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69"/>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69"/>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69"/>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69"/>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69"/>
      <c r="C176" s="219" t="s">
        <v>971</v>
      </c>
      <c r="D176" s="220"/>
      <c r="E176" s="220"/>
      <c r="F176" s="222"/>
      <c r="G176" s="99">
        <v>6</v>
      </c>
      <c r="H176" s="99">
        <v>3</v>
      </c>
      <c r="I176" s="116" t="s">
        <v>29</v>
      </c>
      <c r="J176" s="89"/>
      <c r="K176" s="89"/>
      <c r="L176" s="89"/>
      <c r="M176" s="96" t="s">
        <v>29</v>
      </c>
      <c r="N176" s="108"/>
      <c r="O176" s="219" t="s">
        <v>972</v>
      </c>
      <c r="P176" s="220"/>
      <c r="Q176" s="220"/>
      <c r="R176" s="222"/>
      <c r="S176" s="99">
        <v>9</v>
      </c>
      <c r="T176" s="99">
        <v>0</v>
      </c>
      <c r="U176" s="116" t="s">
        <v>29</v>
      </c>
    </row>
    <row r="177" spans="1:21" ht="13.2" x14ac:dyDescent="0.25">
      <c r="A177" s="67" t="s">
        <v>29</v>
      </c>
      <c r="B177" s="166"/>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67"/>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70"/>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165"/>
      <c r="C180" s="92">
        <v>1</v>
      </c>
      <c r="D180" s="93" t="s">
        <v>1374</v>
      </c>
      <c r="E180" s="94" t="s">
        <v>849</v>
      </c>
      <c r="F180" s="92" t="s">
        <v>1348</v>
      </c>
      <c r="G180" s="92" t="s">
        <v>29</v>
      </c>
      <c r="H180" s="92">
        <v>5</v>
      </c>
      <c r="I180" s="115" t="s">
        <v>64</v>
      </c>
      <c r="J180" s="89"/>
      <c r="K180" s="89"/>
      <c r="L180" s="89"/>
      <c r="M180" s="96" t="s">
        <v>929</v>
      </c>
      <c r="N180" s="84"/>
      <c r="O180" s="92">
        <v>1</v>
      </c>
      <c r="P180" s="93" t="s">
        <v>1375</v>
      </c>
      <c r="Q180" s="94" t="s">
        <v>239</v>
      </c>
      <c r="R180" s="92" t="s">
        <v>1348</v>
      </c>
      <c r="S180" s="92" t="s">
        <v>29</v>
      </c>
      <c r="T180" s="92">
        <v>5</v>
      </c>
      <c r="U180" s="115" t="s">
        <v>29</v>
      </c>
    </row>
    <row r="181" spans="1:21" ht="13.2" x14ac:dyDescent="0.25">
      <c r="A181" s="67" t="s">
        <v>927</v>
      </c>
      <c r="B181" s="165"/>
      <c r="C181" s="92">
        <v>2</v>
      </c>
      <c r="D181" s="93" t="s">
        <v>1376</v>
      </c>
      <c r="E181" s="97" t="s">
        <v>255</v>
      </c>
      <c r="F181" s="92" t="s">
        <v>1347</v>
      </c>
      <c r="G181" s="92">
        <v>3</v>
      </c>
      <c r="H181" s="92" t="s">
        <v>29</v>
      </c>
      <c r="I181" s="115" t="s">
        <v>29</v>
      </c>
      <c r="J181" s="89"/>
      <c r="K181" s="89"/>
      <c r="L181" s="89"/>
      <c r="M181" s="96" t="s">
        <v>929</v>
      </c>
      <c r="N181" s="84"/>
      <c r="O181" s="92">
        <v>2</v>
      </c>
      <c r="P181" s="93" t="s">
        <v>1377</v>
      </c>
      <c r="Q181" s="97" t="s">
        <v>848</v>
      </c>
      <c r="R181" s="92" t="s">
        <v>1348</v>
      </c>
      <c r="S181" s="92" t="s">
        <v>29</v>
      </c>
      <c r="T181" s="92">
        <v>3</v>
      </c>
      <c r="U181" s="115" t="s">
        <v>29</v>
      </c>
    </row>
    <row r="182" spans="1:21" ht="13.2" x14ac:dyDescent="0.25">
      <c r="A182" s="67" t="s">
        <v>927</v>
      </c>
      <c r="B182" s="165"/>
      <c r="C182" s="92">
        <v>3</v>
      </c>
      <c r="D182" s="93" t="s">
        <v>1378</v>
      </c>
      <c r="E182" s="97" t="s">
        <v>203</v>
      </c>
      <c r="F182" s="92" t="s">
        <v>1347</v>
      </c>
      <c r="G182" s="92">
        <v>1</v>
      </c>
      <c r="H182" s="92" t="s">
        <v>29</v>
      </c>
      <c r="I182" s="115" t="s">
        <v>29</v>
      </c>
      <c r="J182" s="89"/>
      <c r="K182" s="89"/>
      <c r="L182" s="89"/>
      <c r="M182" s="96" t="s">
        <v>929</v>
      </c>
      <c r="N182" s="84"/>
      <c r="O182" s="92">
        <v>3</v>
      </c>
      <c r="P182" s="93" t="s">
        <v>1379</v>
      </c>
      <c r="Q182" s="97" t="s">
        <v>256</v>
      </c>
      <c r="R182" s="92" t="s">
        <v>1347</v>
      </c>
      <c r="S182" s="92">
        <v>1</v>
      </c>
      <c r="T182" s="92" t="s">
        <v>29</v>
      </c>
      <c r="U182" s="115" t="s">
        <v>29</v>
      </c>
    </row>
    <row r="183" spans="1:21" ht="13.2" x14ac:dyDescent="0.25">
      <c r="A183" s="67" t="s">
        <v>29</v>
      </c>
      <c r="B183" s="165"/>
      <c r="C183" s="92" t="s">
        <v>29</v>
      </c>
      <c r="D183" s="93" t="s">
        <v>29</v>
      </c>
      <c r="E183" s="97" t="s">
        <v>29</v>
      </c>
      <c r="F183" s="92" t="s">
        <v>29</v>
      </c>
      <c r="G183" s="92" t="s">
        <v>29</v>
      </c>
      <c r="H183" s="92" t="s">
        <v>29</v>
      </c>
      <c r="I183" s="115" t="s">
        <v>29</v>
      </c>
      <c r="J183" s="89"/>
      <c r="K183" s="89"/>
      <c r="L183" s="89"/>
      <c r="M183" s="96" t="s">
        <v>929</v>
      </c>
      <c r="N183" s="84"/>
      <c r="O183" s="92">
        <v>4</v>
      </c>
      <c r="P183" s="93" t="s">
        <v>1380</v>
      </c>
      <c r="Q183" s="97" t="s">
        <v>257</v>
      </c>
      <c r="R183" s="92" t="s">
        <v>1347</v>
      </c>
      <c r="S183" s="92" t="s">
        <v>29</v>
      </c>
      <c r="T183" s="92" t="s">
        <v>29</v>
      </c>
      <c r="U183" s="115" t="s">
        <v>29</v>
      </c>
    </row>
    <row r="184" spans="1:21" ht="13.2" x14ac:dyDescent="0.25">
      <c r="A184" s="67" t="s">
        <v>29</v>
      </c>
      <c r="B184" s="165"/>
      <c r="C184" s="92" t="s">
        <v>29</v>
      </c>
      <c r="D184" s="93" t="s">
        <v>29</v>
      </c>
      <c r="E184" s="97" t="s">
        <v>29</v>
      </c>
      <c r="F184" s="92" t="s">
        <v>29</v>
      </c>
      <c r="G184" s="92" t="s">
        <v>29</v>
      </c>
      <c r="H184" s="92" t="s">
        <v>29</v>
      </c>
      <c r="I184" s="115" t="s">
        <v>29</v>
      </c>
      <c r="J184" s="89"/>
      <c r="K184" s="89"/>
      <c r="L184" s="89"/>
      <c r="M184" s="96" t="s">
        <v>29</v>
      </c>
      <c r="N184" s="84"/>
      <c r="O184" s="92" t="s">
        <v>29</v>
      </c>
      <c r="P184" s="93" t="s">
        <v>29</v>
      </c>
      <c r="Q184" s="97" t="s">
        <v>29</v>
      </c>
      <c r="R184" s="92" t="s">
        <v>29</v>
      </c>
      <c r="S184" s="92" t="s">
        <v>29</v>
      </c>
      <c r="T184" s="92" t="s">
        <v>29</v>
      </c>
      <c r="U184" s="115" t="s">
        <v>29</v>
      </c>
    </row>
    <row r="185" spans="1:21" ht="13.2" x14ac:dyDescent="0.25">
      <c r="A185" s="67" t="s">
        <v>29</v>
      </c>
      <c r="B185" s="165"/>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165"/>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165"/>
      <c r="C187" s="92" t="s">
        <v>29</v>
      </c>
      <c r="D187" s="93" t="s">
        <v>29</v>
      </c>
      <c r="E187" s="97" t="s">
        <v>29</v>
      </c>
      <c r="F187" s="92" t="s">
        <v>29</v>
      </c>
      <c r="G187" s="92" t="s">
        <v>29</v>
      </c>
      <c r="H187" s="92" t="s">
        <v>29</v>
      </c>
      <c r="I187" s="115" t="s">
        <v>29</v>
      </c>
      <c r="J187" s="89"/>
      <c r="K187" s="89"/>
      <c r="L187" s="89"/>
      <c r="M187" s="96" t="s">
        <v>29</v>
      </c>
      <c r="N187" s="84"/>
      <c r="O187" s="92" t="s">
        <v>29</v>
      </c>
      <c r="P187" s="93" t="s">
        <v>29</v>
      </c>
      <c r="Q187" s="97" t="s">
        <v>29</v>
      </c>
      <c r="R187" s="92" t="s">
        <v>29</v>
      </c>
      <c r="S187" s="92" t="s">
        <v>29</v>
      </c>
      <c r="T187" s="92" t="s">
        <v>29</v>
      </c>
      <c r="U187" s="115" t="s">
        <v>29</v>
      </c>
    </row>
    <row r="188" spans="1:21" ht="13.2" x14ac:dyDescent="0.25">
      <c r="A188" s="67" t="s">
        <v>29</v>
      </c>
      <c r="B188" s="165"/>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165"/>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165"/>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165"/>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165"/>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165"/>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165"/>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165"/>
      <c r="C195" s="219" t="s">
        <v>984</v>
      </c>
      <c r="D195" s="220"/>
      <c r="E195" s="220"/>
      <c r="F195" s="220"/>
      <c r="G195" s="99">
        <v>4</v>
      </c>
      <c r="H195" s="99">
        <v>5</v>
      </c>
      <c r="I195" s="115" t="s">
        <v>29</v>
      </c>
      <c r="J195" s="89"/>
      <c r="K195" s="89"/>
      <c r="L195" s="89"/>
      <c r="M195" s="96" t="s">
        <v>29</v>
      </c>
      <c r="N195" s="84"/>
      <c r="O195" s="219" t="s">
        <v>985</v>
      </c>
      <c r="P195" s="220"/>
      <c r="Q195" s="220"/>
      <c r="R195" s="220"/>
      <c r="S195" s="99">
        <v>1</v>
      </c>
      <c r="T195" s="99">
        <v>8</v>
      </c>
      <c r="U195" s="115" t="s">
        <v>29</v>
      </c>
    </row>
    <row r="196" spans="1:21" ht="13.2" x14ac:dyDescent="0.25">
      <c r="A196" s="67" t="s">
        <v>29</v>
      </c>
      <c r="B196" s="166"/>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67"/>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68"/>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69"/>
      <c r="C199" s="92">
        <v>1</v>
      </c>
      <c r="D199" s="93" t="s">
        <v>1381</v>
      </c>
      <c r="E199" s="94" t="s">
        <v>851</v>
      </c>
      <c r="F199" s="92" t="s">
        <v>1348</v>
      </c>
      <c r="G199" s="92" t="s">
        <v>29</v>
      </c>
      <c r="H199" s="92">
        <v>5</v>
      </c>
      <c r="I199" s="116" t="s">
        <v>29</v>
      </c>
      <c r="J199" s="89"/>
      <c r="K199" s="89"/>
      <c r="L199" s="89"/>
      <c r="M199" s="96" t="s">
        <v>933</v>
      </c>
      <c r="N199" s="108"/>
      <c r="O199" s="92">
        <v>1</v>
      </c>
      <c r="P199" s="93" t="s">
        <v>1382</v>
      </c>
      <c r="Q199" s="94" t="s">
        <v>268</v>
      </c>
      <c r="R199" s="92" t="s">
        <v>1347</v>
      </c>
      <c r="S199" s="92">
        <v>5</v>
      </c>
      <c r="T199" s="92" t="s">
        <v>29</v>
      </c>
      <c r="U199" s="116" t="s">
        <v>29</v>
      </c>
    </row>
    <row r="200" spans="1:21" ht="13.2" x14ac:dyDescent="0.25">
      <c r="A200" s="67" t="s">
        <v>931</v>
      </c>
      <c r="B200" s="169"/>
      <c r="C200" s="92">
        <v>2</v>
      </c>
      <c r="D200" s="93" t="s">
        <v>1383</v>
      </c>
      <c r="E200" s="97" t="s">
        <v>850</v>
      </c>
      <c r="F200" s="92" t="s">
        <v>1348</v>
      </c>
      <c r="G200" s="92" t="s">
        <v>29</v>
      </c>
      <c r="H200" s="92">
        <v>3</v>
      </c>
      <c r="I200" s="116" t="s">
        <v>29</v>
      </c>
      <c r="J200" s="89"/>
      <c r="K200" s="89"/>
      <c r="L200" s="89"/>
      <c r="M200" s="96" t="s">
        <v>933</v>
      </c>
      <c r="N200" s="108"/>
      <c r="O200" s="92">
        <v>2</v>
      </c>
      <c r="P200" s="93" t="s">
        <v>1384</v>
      </c>
      <c r="Q200" s="97" t="s">
        <v>855</v>
      </c>
      <c r="R200" s="92" t="s">
        <v>1348</v>
      </c>
      <c r="S200" s="92" t="s">
        <v>29</v>
      </c>
      <c r="T200" s="92">
        <v>3</v>
      </c>
      <c r="U200" s="116" t="s">
        <v>29</v>
      </c>
    </row>
    <row r="201" spans="1:21" ht="13.2" x14ac:dyDescent="0.25">
      <c r="A201" s="67" t="s">
        <v>931</v>
      </c>
      <c r="B201" s="169"/>
      <c r="C201" s="92">
        <v>3</v>
      </c>
      <c r="D201" s="93" t="s">
        <v>1385</v>
      </c>
      <c r="E201" s="97" t="s">
        <v>265</v>
      </c>
      <c r="F201" s="92" t="s">
        <v>1347</v>
      </c>
      <c r="G201" s="92">
        <v>1</v>
      </c>
      <c r="H201" s="92" t="s">
        <v>29</v>
      </c>
      <c r="I201" s="116" t="s">
        <v>29</v>
      </c>
      <c r="J201" s="89"/>
      <c r="K201" s="89"/>
      <c r="L201" s="89"/>
      <c r="M201" s="96" t="s">
        <v>933</v>
      </c>
      <c r="N201" s="108"/>
      <c r="O201" s="92">
        <v>3</v>
      </c>
      <c r="P201" s="93" t="s">
        <v>1386</v>
      </c>
      <c r="Q201" s="97" t="s">
        <v>854</v>
      </c>
      <c r="R201" s="92" t="s">
        <v>1348</v>
      </c>
      <c r="S201" s="92" t="s">
        <v>29</v>
      </c>
      <c r="T201" s="92">
        <v>1</v>
      </c>
      <c r="U201" s="116" t="s">
        <v>29</v>
      </c>
    </row>
    <row r="202" spans="1:21" ht="13.2" x14ac:dyDescent="0.25">
      <c r="A202" s="67" t="s">
        <v>931</v>
      </c>
      <c r="B202" s="169"/>
      <c r="C202" s="92">
        <v>4</v>
      </c>
      <c r="D202" s="93" t="s">
        <v>1387</v>
      </c>
      <c r="E202" s="97" t="s">
        <v>264</v>
      </c>
      <c r="F202" s="92" t="s">
        <v>1347</v>
      </c>
      <c r="G202" s="92" t="s">
        <v>29</v>
      </c>
      <c r="H202" s="92" t="s">
        <v>29</v>
      </c>
      <c r="I202" s="116" t="s">
        <v>29</v>
      </c>
      <c r="J202" s="89"/>
      <c r="K202" s="89"/>
      <c r="L202" s="89"/>
      <c r="M202" s="96" t="s">
        <v>933</v>
      </c>
      <c r="N202" s="108"/>
      <c r="O202" s="92">
        <v>4</v>
      </c>
      <c r="P202" s="93" t="s">
        <v>1388</v>
      </c>
      <c r="Q202" s="97" t="s">
        <v>468</v>
      </c>
      <c r="R202" s="92" t="s">
        <v>1348</v>
      </c>
      <c r="S202" s="92" t="s">
        <v>29</v>
      </c>
      <c r="T202" s="92" t="s">
        <v>29</v>
      </c>
      <c r="U202" s="116" t="s">
        <v>29</v>
      </c>
    </row>
    <row r="203" spans="1:21" ht="13.2" x14ac:dyDescent="0.25">
      <c r="A203" s="67" t="s">
        <v>931</v>
      </c>
      <c r="B203" s="169"/>
      <c r="C203" s="92">
        <v>5</v>
      </c>
      <c r="D203" s="93" t="s">
        <v>1389</v>
      </c>
      <c r="E203" s="97" t="s">
        <v>852</v>
      </c>
      <c r="F203" s="92" t="s">
        <v>1348</v>
      </c>
      <c r="G203" s="92" t="s">
        <v>29</v>
      </c>
      <c r="H203" s="92" t="s">
        <v>29</v>
      </c>
      <c r="I203" s="116" t="s">
        <v>29</v>
      </c>
      <c r="J203" s="89"/>
      <c r="K203" s="89"/>
      <c r="L203" s="89"/>
      <c r="M203" s="96" t="s">
        <v>933</v>
      </c>
      <c r="N203" s="108"/>
      <c r="O203" s="92">
        <v>5</v>
      </c>
      <c r="P203" s="93" t="s">
        <v>1390</v>
      </c>
      <c r="Q203" s="97" t="s">
        <v>857</v>
      </c>
      <c r="R203" s="92" t="s">
        <v>1348</v>
      </c>
      <c r="S203" s="92" t="s">
        <v>29</v>
      </c>
      <c r="T203" s="92" t="s">
        <v>29</v>
      </c>
      <c r="U203" s="116" t="s">
        <v>29</v>
      </c>
    </row>
    <row r="204" spans="1:21" ht="13.2" x14ac:dyDescent="0.25">
      <c r="A204" s="67" t="s">
        <v>931</v>
      </c>
      <c r="B204" s="169"/>
      <c r="C204" s="92">
        <v>6</v>
      </c>
      <c r="D204" s="93" t="s">
        <v>1391</v>
      </c>
      <c r="E204" s="97" t="s">
        <v>853</v>
      </c>
      <c r="F204" s="92" t="s">
        <v>1348</v>
      </c>
      <c r="G204" s="92" t="s">
        <v>29</v>
      </c>
      <c r="H204" s="92" t="s">
        <v>29</v>
      </c>
      <c r="I204" s="116" t="s">
        <v>29</v>
      </c>
      <c r="J204" s="89"/>
      <c r="K204" s="89"/>
      <c r="L204" s="89"/>
      <c r="M204" s="96" t="s">
        <v>933</v>
      </c>
      <c r="N204" s="108"/>
      <c r="O204" s="92">
        <v>6</v>
      </c>
      <c r="P204" s="93" t="s">
        <v>1392</v>
      </c>
      <c r="Q204" s="97" t="s">
        <v>856</v>
      </c>
      <c r="R204" s="92" t="s">
        <v>1348</v>
      </c>
      <c r="S204" s="92" t="s">
        <v>29</v>
      </c>
      <c r="T204" s="92" t="s">
        <v>29</v>
      </c>
      <c r="U204" s="116" t="s">
        <v>29</v>
      </c>
    </row>
    <row r="205" spans="1:21" ht="13.2" x14ac:dyDescent="0.25">
      <c r="A205" s="67" t="s">
        <v>931</v>
      </c>
      <c r="B205" s="169"/>
      <c r="C205" s="92">
        <v>7</v>
      </c>
      <c r="D205" s="93" t="s">
        <v>1393</v>
      </c>
      <c r="E205" s="97" t="s">
        <v>266</v>
      </c>
      <c r="F205" s="92" t="s">
        <v>1347</v>
      </c>
      <c r="G205" s="92" t="s">
        <v>29</v>
      </c>
      <c r="H205" s="92" t="s">
        <v>29</v>
      </c>
      <c r="I205" s="116" t="s">
        <v>29</v>
      </c>
      <c r="J205" s="89"/>
      <c r="K205" s="89"/>
      <c r="L205" s="89"/>
      <c r="M205" s="96" t="s">
        <v>933</v>
      </c>
      <c r="N205" s="108"/>
      <c r="O205" s="92">
        <v>7</v>
      </c>
      <c r="P205" s="93" t="s">
        <v>1394</v>
      </c>
      <c r="Q205" s="97" t="s">
        <v>267</v>
      </c>
      <c r="R205" s="92" t="s">
        <v>1347</v>
      </c>
      <c r="S205" s="92" t="s">
        <v>29</v>
      </c>
      <c r="T205" s="92" t="s">
        <v>29</v>
      </c>
      <c r="U205" s="116" t="s">
        <v>29</v>
      </c>
    </row>
    <row r="206" spans="1:21" ht="13.2" x14ac:dyDescent="0.25">
      <c r="A206" s="67" t="s">
        <v>29</v>
      </c>
      <c r="B206" s="169"/>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69"/>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69"/>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69"/>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69"/>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69"/>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69"/>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69"/>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69"/>
      <c r="C214" s="219" t="s">
        <v>995</v>
      </c>
      <c r="D214" s="220"/>
      <c r="E214" s="220"/>
      <c r="F214" s="220"/>
      <c r="G214" s="99">
        <v>1</v>
      </c>
      <c r="H214" s="99">
        <v>8</v>
      </c>
      <c r="I214" s="116" t="s">
        <v>29</v>
      </c>
      <c r="J214" s="89"/>
      <c r="K214" s="89"/>
      <c r="L214" s="89"/>
      <c r="M214" s="96" t="s">
        <v>29</v>
      </c>
      <c r="N214" s="108"/>
      <c r="O214" s="219" t="s">
        <v>996</v>
      </c>
      <c r="P214" s="220"/>
      <c r="Q214" s="220"/>
      <c r="R214" s="220"/>
      <c r="S214" s="99">
        <v>5</v>
      </c>
      <c r="T214" s="99">
        <v>4</v>
      </c>
      <c r="U214" s="116" t="s">
        <v>29</v>
      </c>
    </row>
    <row r="215" spans="1:21" ht="13.2" x14ac:dyDescent="0.25">
      <c r="A215" s="67"/>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C216" s="118" t="s">
        <v>997</v>
      </c>
      <c r="D216" s="89"/>
      <c r="E216" s="89"/>
      <c r="F216" s="89"/>
      <c r="G216" s="89"/>
      <c r="H216" s="89"/>
      <c r="I216" s="89" t="s">
        <v>29</v>
      </c>
      <c r="J216" s="89"/>
      <c r="K216" s="89"/>
      <c r="L216" s="89"/>
      <c r="M216" s="96"/>
      <c r="N216" s="119"/>
      <c r="O216" s="120" t="s">
        <v>998</v>
      </c>
      <c r="P216" s="119"/>
      <c r="Q216" s="221" t="s">
        <v>1395</v>
      </c>
      <c r="R216" s="220"/>
      <c r="S216" s="220"/>
      <c r="T216" s="222"/>
      <c r="U216" s="66" t="s">
        <v>29</v>
      </c>
    </row>
    <row r="217" spans="1:21" ht="13.2" x14ac:dyDescent="0.25">
      <c r="A217" s="67"/>
      <c r="C217" s="245" t="s">
        <v>1396</v>
      </c>
      <c r="D217" s="227"/>
      <c r="E217" s="227"/>
      <c r="F217" s="227"/>
      <c r="G217" s="227"/>
      <c r="H217" s="228"/>
      <c r="I217" s="89" t="s">
        <v>29</v>
      </c>
      <c r="J217" s="89"/>
      <c r="K217" s="89"/>
      <c r="L217" s="89"/>
      <c r="M217" s="96"/>
      <c r="N217" s="119"/>
      <c r="O217" s="120" t="s">
        <v>1001</v>
      </c>
      <c r="P217" s="121"/>
      <c r="Q217" s="221" t="s">
        <v>1397</v>
      </c>
      <c r="R217" s="220"/>
      <c r="S217" s="220"/>
      <c r="T217" s="222"/>
      <c r="U217" s="66" t="s">
        <v>29</v>
      </c>
    </row>
    <row r="218" spans="1:21" ht="13.2" x14ac:dyDescent="0.25">
      <c r="A218" s="67"/>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C219" s="118" t="s">
        <v>1003</v>
      </c>
      <c r="D219" s="122"/>
      <c r="E219" s="225" t="s">
        <v>1397</v>
      </c>
      <c r="F219" s="220"/>
      <c r="G219" s="220"/>
      <c r="H219" s="222"/>
      <c r="I219" s="89" t="s">
        <v>29</v>
      </c>
      <c r="J219" s="89"/>
      <c r="K219" s="89"/>
      <c r="L219" s="89"/>
      <c r="M219" s="96"/>
      <c r="N219" s="119"/>
      <c r="O219" s="118" t="s">
        <v>1004</v>
      </c>
      <c r="P219" s="122"/>
      <c r="Q219" s="225" t="s">
        <v>1398</v>
      </c>
      <c r="R219" s="220"/>
      <c r="S219" s="220"/>
      <c r="T219" s="222"/>
      <c r="U219" s="66" t="s">
        <v>29</v>
      </c>
    </row>
    <row r="220" spans="1:21" ht="13.2" x14ac:dyDescent="0.25">
      <c r="A220" s="67"/>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C221" s="242" t="s">
        <v>1399</v>
      </c>
      <c r="D221" s="227"/>
      <c r="E221" s="227"/>
      <c r="F221" s="227"/>
      <c r="G221" s="227"/>
      <c r="H221" s="228"/>
      <c r="I221" s="66" t="s">
        <v>29</v>
      </c>
      <c r="J221" s="66"/>
      <c r="K221" s="66"/>
      <c r="L221" s="66"/>
      <c r="M221" s="74"/>
      <c r="N221" s="123"/>
      <c r="O221" s="240"/>
      <c r="P221" s="227"/>
      <c r="Q221" s="227"/>
      <c r="R221" s="227"/>
      <c r="S221" s="227"/>
      <c r="T221" s="228"/>
      <c r="U221" s="66" t="s">
        <v>29</v>
      </c>
    </row>
    <row r="222" spans="1:21" ht="13.2" x14ac:dyDescent="0.25">
      <c r="A222" s="67"/>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5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58"/>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59"/>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39"/>
      <c r="C229" s="257" t="s">
        <v>859</v>
      </c>
      <c r="D229" s="220"/>
      <c r="E229" s="271" t="s">
        <v>878</v>
      </c>
      <c r="F229" s="220"/>
      <c r="G229" s="222"/>
      <c r="H229" s="150" t="s">
        <v>1400</v>
      </c>
      <c r="I229" s="151" t="s">
        <v>29</v>
      </c>
      <c r="J229" s="152"/>
      <c r="K229" s="152"/>
      <c r="L229" s="152"/>
      <c r="M229" s="153"/>
      <c r="N229" s="64"/>
      <c r="O229" s="236" t="s">
        <v>860</v>
      </c>
      <c r="P229" s="220"/>
      <c r="Q229" s="261" t="s">
        <v>879</v>
      </c>
      <c r="R229" s="220"/>
      <c r="S229" s="222"/>
      <c r="T229" s="154" t="s">
        <v>1401</v>
      </c>
      <c r="U229" s="155" t="s">
        <v>29</v>
      </c>
    </row>
    <row r="230" spans="1:21" ht="17.399999999999999" x14ac:dyDescent="0.25">
      <c r="A230" s="67"/>
      <c r="B230" s="145"/>
      <c r="C230" s="265" t="s">
        <v>2</v>
      </c>
      <c r="D230" s="222"/>
      <c r="E230" s="266">
        <v>30</v>
      </c>
      <c r="F230" s="220"/>
      <c r="G230" s="220"/>
      <c r="H230" s="157"/>
      <c r="I230" s="151" t="s">
        <v>29</v>
      </c>
      <c r="J230" s="158"/>
      <c r="K230" s="158"/>
      <c r="L230" s="158"/>
      <c r="M230" s="159"/>
      <c r="N230" s="64"/>
      <c r="O230" s="262" t="s">
        <v>2</v>
      </c>
      <c r="P230" s="222"/>
      <c r="Q230" s="263">
        <v>34</v>
      </c>
      <c r="R230" s="220"/>
      <c r="S230" s="220"/>
      <c r="T230" s="160"/>
      <c r="U230" s="155" t="s">
        <v>29</v>
      </c>
    </row>
    <row r="231" spans="1:21" ht="13.2" x14ac:dyDescent="0.25">
      <c r="A231" s="67"/>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C233" s="68" t="s">
        <v>919</v>
      </c>
      <c r="D233" s="161" t="s">
        <v>920</v>
      </c>
      <c r="E233" s="68"/>
      <c r="F233" s="68"/>
      <c r="G233" s="78">
        <v>6</v>
      </c>
      <c r="H233" s="79">
        <v>3</v>
      </c>
      <c r="I233" s="66" t="s">
        <v>29</v>
      </c>
      <c r="J233" s="66"/>
      <c r="K233" s="66"/>
      <c r="L233" s="66"/>
      <c r="M233" s="74"/>
      <c r="N233" s="66"/>
      <c r="O233" s="68" t="s">
        <v>921</v>
      </c>
      <c r="P233" s="161" t="s">
        <v>922</v>
      </c>
      <c r="Q233" s="68"/>
      <c r="R233" s="68"/>
      <c r="S233" s="78">
        <v>0</v>
      </c>
      <c r="T233" s="79">
        <v>9</v>
      </c>
      <c r="U233" s="66" t="s">
        <v>29</v>
      </c>
    </row>
    <row r="234" spans="1:21" ht="13.2" x14ac:dyDescent="0.25">
      <c r="A234" s="67"/>
      <c r="C234" s="68" t="s">
        <v>923</v>
      </c>
      <c r="D234" s="161" t="s">
        <v>924</v>
      </c>
      <c r="E234" s="68"/>
      <c r="F234" s="68"/>
      <c r="G234" s="78">
        <v>4</v>
      </c>
      <c r="H234" s="79">
        <v>5</v>
      </c>
      <c r="I234" s="66" t="s">
        <v>29</v>
      </c>
      <c r="J234" s="66"/>
      <c r="K234" s="66"/>
      <c r="L234" s="66"/>
      <c r="M234" s="74"/>
      <c r="N234" s="66"/>
      <c r="O234" s="68" t="s">
        <v>925</v>
      </c>
      <c r="P234" s="161" t="s">
        <v>926</v>
      </c>
      <c r="Q234" s="68"/>
      <c r="R234" s="68"/>
      <c r="S234" s="78">
        <v>6</v>
      </c>
      <c r="T234" s="79">
        <v>3</v>
      </c>
      <c r="U234" s="66" t="s">
        <v>29</v>
      </c>
    </row>
    <row r="235" spans="1:21" ht="13.2" x14ac:dyDescent="0.25">
      <c r="A235" s="67"/>
      <c r="C235" s="68" t="s">
        <v>927</v>
      </c>
      <c r="D235" s="161" t="s">
        <v>928</v>
      </c>
      <c r="E235" s="68"/>
      <c r="F235" s="68"/>
      <c r="G235" s="78">
        <v>0</v>
      </c>
      <c r="H235" s="79">
        <v>5</v>
      </c>
      <c r="I235" s="66" t="s">
        <v>29</v>
      </c>
      <c r="J235" s="66"/>
      <c r="K235" s="66"/>
      <c r="L235" s="66"/>
      <c r="M235" s="74"/>
      <c r="N235" s="66"/>
      <c r="O235" s="68" t="s">
        <v>929</v>
      </c>
      <c r="P235" s="161" t="s">
        <v>930</v>
      </c>
      <c r="Q235" s="68"/>
      <c r="R235" s="68"/>
      <c r="S235" s="78">
        <v>4</v>
      </c>
      <c r="T235" s="79">
        <v>5</v>
      </c>
      <c r="U235" s="66" t="s">
        <v>29</v>
      </c>
    </row>
    <row r="236" spans="1:21" ht="13.2" x14ac:dyDescent="0.25">
      <c r="A236" s="67"/>
      <c r="C236" s="68" t="s">
        <v>931</v>
      </c>
      <c r="D236" s="161" t="s">
        <v>932</v>
      </c>
      <c r="E236" s="68"/>
      <c r="F236" s="68"/>
      <c r="G236" s="78">
        <v>5</v>
      </c>
      <c r="H236" s="79">
        <v>0</v>
      </c>
      <c r="I236" s="66" t="s">
        <v>29</v>
      </c>
      <c r="J236" s="66"/>
      <c r="K236" s="66"/>
      <c r="L236" s="66"/>
      <c r="M236" s="74"/>
      <c r="N236" s="66"/>
      <c r="O236" s="68" t="s">
        <v>933</v>
      </c>
      <c r="P236" s="161" t="s">
        <v>934</v>
      </c>
      <c r="Q236" s="68"/>
      <c r="R236" s="68"/>
      <c r="S236" s="78">
        <v>5</v>
      </c>
      <c r="T236" s="79">
        <v>4</v>
      </c>
      <c r="U236" s="66" t="s">
        <v>29</v>
      </c>
    </row>
    <row r="237" spans="1:21" ht="13.2" x14ac:dyDescent="0.25">
      <c r="A237" s="67"/>
      <c r="C237" s="80"/>
      <c r="D237" s="162" t="s">
        <v>935</v>
      </c>
      <c r="E237" s="162"/>
      <c r="F237" s="162"/>
      <c r="G237" s="72">
        <v>15</v>
      </c>
      <c r="H237" s="73">
        <v>13</v>
      </c>
      <c r="I237" s="66" t="s">
        <v>29</v>
      </c>
      <c r="J237" s="66"/>
      <c r="K237" s="66"/>
      <c r="L237" s="66"/>
      <c r="M237" s="74"/>
      <c r="N237" s="66"/>
      <c r="O237" s="80"/>
      <c r="P237" s="162" t="s">
        <v>935</v>
      </c>
      <c r="Q237" s="162"/>
      <c r="R237" s="162"/>
      <c r="S237" s="72">
        <v>15</v>
      </c>
      <c r="T237" s="73">
        <v>21</v>
      </c>
      <c r="U237" s="66" t="s">
        <v>29</v>
      </c>
    </row>
    <row r="238" spans="1:21" ht="13.2" x14ac:dyDescent="0.25">
      <c r="A238" s="67"/>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165"/>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26.4" x14ac:dyDescent="0.25">
      <c r="A242" s="67" t="s">
        <v>919</v>
      </c>
      <c r="B242" s="165"/>
      <c r="C242" s="92">
        <v>1</v>
      </c>
      <c r="D242" s="93" t="s">
        <v>1402</v>
      </c>
      <c r="E242" s="94" t="s">
        <v>183</v>
      </c>
      <c r="F242" s="92" t="s">
        <v>1400</v>
      </c>
      <c r="G242" s="92">
        <v>5</v>
      </c>
      <c r="H242" s="92" t="s">
        <v>29</v>
      </c>
      <c r="I242" s="115" t="s">
        <v>29</v>
      </c>
      <c r="J242" s="89"/>
      <c r="K242" s="89"/>
      <c r="L242" s="89"/>
      <c r="M242" s="96" t="s">
        <v>921</v>
      </c>
      <c r="N242" s="84"/>
      <c r="O242" s="92">
        <v>1</v>
      </c>
      <c r="P242" s="93" t="s">
        <v>1403</v>
      </c>
      <c r="Q242" s="94" t="s">
        <v>611</v>
      </c>
      <c r="R242" s="92" t="s">
        <v>1401</v>
      </c>
      <c r="S242" s="92" t="s">
        <v>29</v>
      </c>
      <c r="T242" s="92">
        <v>5</v>
      </c>
      <c r="U242" s="115" t="s">
        <v>29</v>
      </c>
    </row>
    <row r="243" spans="1:21" ht="13.2" x14ac:dyDescent="0.25">
      <c r="A243" s="67" t="s">
        <v>919</v>
      </c>
      <c r="B243" s="165"/>
      <c r="C243" s="92">
        <v>2</v>
      </c>
      <c r="D243" s="93" t="s">
        <v>1404</v>
      </c>
      <c r="E243" s="97" t="s">
        <v>605</v>
      </c>
      <c r="F243" s="92" t="s">
        <v>1401</v>
      </c>
      <c r="G243" s="92" t="s">
        <v>29</v>
      </c>
      <c r="H243" s="92">
        <v>3</v>
      </c>
      <c r="I243" s="115" t="s">
        <v>29</v>
      </c>
      <c r="J243" s="89"/>
      <c r="K243" s="89"/>
      <c r="L243" s="89"/>
      <c r="M243" s="96" t="s">
        <v>921</v>
      </c>
      <c r="N243" s="84"/>
      <c r="O243" s="92">
        <v>2</v>
      </c>
      <c r="P243" s="93" t="s">
        <v>1405</v>
      </c>
      <c r="Q243" s="97" t="s">
        <v>612</v>
      </c>
      <c r="R243" s="92" t="s">
        <v>1401</v>
      </c>
      <c r="S243" s="92" t="s">
        <v>29</v>
      </c>
      <c r="T243" s="92">
        <v>3</v>
      </c>
      <c r="U243" s="115" t="s">
        <v>29</v>
      </c>
    </row>
    <row r="244" spans="1:21" ht="13.2" x14ac:dyDescent="0.25">
      <c r="A244" s="67" t="s">
        <v>919</v>
      </c>
      <c r="B244" s="165"/>
      <c r="C244" s="92">
        <v>3</v>
      </c>
      <c r="D244" s="93" t="s">
        <v>1406</v>
      </c>
      <c r="E244" s="97" t="s">
        <v>179</v>
      </c>
      <c r="F244" s="92" t="s">
        <v>1400</v>
      </c>
      <c r="G244" s="92">
        <v>1</v>
      </c>
      <c r="H244" s="92" t="s">
        <v>29</v>
      </c>
      <c r="I244" s="115" t="s">
        <v>29</v>
      </c>
      <c r="J244" s="89"/>
      <c r="K244" s="89"/>
      <c r="L244" s="89"/>
      <c r="M244" s="96" t="s">
        <v>921</v>
      </c>
      <c r="N244" s="84"/>
      <c r="O244" s="92">
        <v>3</v>
      </c>
      <c r="P244" s="93" t="s">
        <v>1407</v>
      </c>
      <c r="Q244" s="97" t="s">
        <v>367</v>
      </c>
      <c r="R244" s="92" t="s">
        <v>1401</v>
      </c>
      <c r="S244" s="92" t="s">
        <v>29</v>
      </c>
      <c r="T244" s="92">
        <v>1</v>
      </c>
      <c r="U244" s="115" t="s">
        <v>29</v>
      </c>
    </row>
    <row r="245" spans="1:21" ht="13.2" x14ac:dyDescent="0.25">
      <c r="A245" s="67" t="s">
        <v>919</v>
      </c>
      <c r="B245" s="165"/>
      <c r="C245" s="92">
        <v>4</v>
      </c>
      <c r="D245" s="93" t="s">
        <v>1408</v>
      </c>
      <c r="E245" s="97" t="s">
        <v>608</v>
      </c>
      <c r="F245" s="92" t="s">
        <v>1401</v>
      </c>
      <c r="G245" s="92" t="s">
        <v>29</v>
      </c>
      <c r="H245" s="92" t="s">
        <v>29</v>
      </c>
      <c r="I245" s="115" t="s">
        <v>29</v>
      </c>
      <c r="J245" s="89"/>
      <c r="K245" s="89"/>
      <c r="L245" s="89"/>
      <c r="M245" s="96" t="s">
        <v>921</v>
      </c>
      <c r="N245" s="84"/>
      <c r="O245" s="92">
        <v>4</v>
      </c>
      <c r="P245" s="93" t="s">
        <v>1409</v>
      </c>
      <c r="Q245" s="97" t="s">
        <v>184</v>
      </c>
      <c r="R245" s="92" t="s">
        <v>1400</v>
      </c>
      <c r="S245" s="92" t="s">
        <v>29</v>
      </c>
      <c r="T245" s="92" t="s">
        <v>29</v>
      </c>
      <c r="U245" s="115" t="s">
        <v>29</v>
      </c>
    </row>
    <row r="246" spans="1:21" ht="13.2" x14ac:dyDescent="0.25">
      <c r="A246" s="67" t="s">
        <v>919</v>
      </c>
      <c r="B246" s="165"/>
      <c r="C246" s="92">
        <v>5</v>
      </c>
      <c r="D246" s="93" t="s">
        <v>1410</v>
      </c>
      <c r="E246" s="97" t="s">
        <v>182</v>
      </c>
      <c r="F246" s="92" t="s">
        <v>1400</v>
      </c>
      <c r="G246" s="92" t="s">
        <v>29</v>
      </c>
      <c r="H246" s="92" t="s">
        <v>29</v>
      </c>
      <c r="I246" s="115" t="s">
        <v>29</v>
      </c>
      <c r="J246" s="89"/>
      <c r="K246" s="89"/>
      <c r="L246" s="89"/>
      <c r="M246" s="96" t="s">
        <v>921</v>
      </c>
      <c r="N246" s="84"/>
      <c r="O246" s="92">
        <v>5</v>
      </c>
      <c r="P246" s="93" t="s">
        <v>1411</v>
      </c>
      <c r="Q246" s="97" t="s">
        <v>610</v>
      </c>
      <c r="R246" s="92" t="s">
        <v>1401</v>
      </c>
      <c r="S246" s="92" t="s">
        <v>29</v>
      </c>
      <c r="T246" s="92" t="s">
        <v>29</v>
      </c>
      <c r="U246" s="115" t="s">
        <v>29</v>
      </c>
    </row>
    <row r="247" spans="1:21" ht="13.2" x14ac:dyDescent="0.25">
      <c r="A247" s="67" t="s">
        <v>919</v>
      </c>
      <c r="B247" s="165"/>
      <c r="C247" s="92">
        <v>6</v>
      </c>
      <c r="D247" s="93" t="s">
        <v>1412</v>
      </c>
      <c r="E247" s="97" t="s">
        <v>607</v>
      </c>
      <c r="F247" s="92" t="s">
        <v>1401</v>
      </c>
      <c r="G247" s="92" t="s">
        <v>29</v>
      </c>
      <c r="H247" s="92" t="s">
        <v>29</v>
      </c>
      <c r="I247" s="115" t="s">
        <v>29</v>
      </c>
      <c r="J247" s="89"/>
      <c r="K247" s="89"/>
      <c r="L247" s="89"/>
      <c r="M247" s="96" t="s">
        <v>921</v>
      </c>
      <c r="N247" s="84"/>
      <c r="O247" s="92">
        <v>6</v>
      </c>
      <c r="P247" s="93" t="s">
        <v>1413</v>
      </c>
      <c r="Q247" s="97" t="s">
        <v>185</v>
      </c>
      <c r="R247" s="92" t="s">
        <v>1400</v>
      </c>
      <c r="S247" s="92" t="s">
        <v>29</v>
      </c>
      <c r="T247" s="92" t="s">
        <v>29</v>
      </c>
      <c r="U247" s="115" t="s">
        <v>29</v>
      </c>
    </row>
    <row r="248" spans="1:21" ht="13.2" x14ac:dyDescent="0.25">
      <c r="A248" s="67" t="s">
        <v>919</v>
      </c>
      <c r="B248" s="165"/>
      <c r="C248" s="92">
        <v>7</v>
      </c>
      <c r="D248" s="93" t="s">
        <v>1414</v>
      </c>
      <c r="E248" s="97" t="s">
        <v>492</v>
      </c>
      <c r="F248" s="92" t="s">
        <v>1401</v>
      </c>
      <c r="G248" s="92" t="s">
        <v>29</v>
      </c>
      <c r="H248" s="92" t="s">
        <v>29</v>
      </c>
      <c r="I248" s="115" t="s">
        <v>29</v>
      </c>
      <c r="J248" s="89"/>
      <c r="K248" s="89"/>
      <c r="L248" s="89"/>
      <c r="M248" s="96" t="s">
        <v>29</v>
      </c>
      <c r="N248" s="84"/>
      <c r="O248" s="92" t="s">
        <v>29</v>
      </c>
      <c r="P248" s="93" t="s">
        <v>29</v>
      </c>
      <c r="Q248" s="97" t="s">
        <v>29</v>
      </c>
      <c r="R248" s="92" t="s">
        <v>29</v>
      </c>
      <c r="S248" s="92" t="s">
        <v>29</v>
      </c>
      <c r="T248" s="92" t="s">
        <v>29</v>
      </c>
      <c r="U248" s="115" t="s">
        <v>29</v>
      </c>
    </row>
    <row r="249" spans="1:21" ht="13.2" x14ac:dyDescent="0.25">
      <c r="A249" s="67" t="s">
        <v>919</v>
      </c>
      <c r="B249" s="165"/>
      <c r="C249" s="92">
        <v>8</v>
      </c>
      <c r="D249" s="98" t="s">
        <v>1415</v>
      </c>
      <c r="E249" s="97" t="s">
        <v>180</v>
      </c>
      <c r="F249" s="92" t="s">
        <v>1400</v>
      </c>
      <c r="G249" s="92" t="s">
        <v>29</v>
      </c>
      <c r="H249" s="92" t="s">
        <v>29</v>
      </c>
      <c r="I249" s="115" t="s">
        <v>29</v>
      </c>
      <c r="J249" s="89"/>
      <c r="K249" s="89"/>
      <c r="L249" s="89"/>
      <c r="M249" s="96" t="s">
        <v>29</v>
      </c>
      <c r="N249" s="84"/>
      <c r="O249" s="92" t="s">
        <v>29</v>
      </c>
      <c r="P249" s="93" t="s">
        <v>29</v>
      </c>
      <c r="Q249" s="97" t="s">
        <v>29</v>
      </c>
      <c r="R249" s="92" t="s">
        <v>29</v>
      </c>
      <c r="S249" s="92" t="s">
        <v>29</v>
      </c>
      <c r="T249" s="92" t="s">
        <v>29</v>
      </c>
      <c r="U249" s="115" t="s">
        <v>29</v>
      </c>
    </row>
    <row r="250" spans="1:21" ht="13.2" x14ac:dyDescent="0.25">
      <c r="A250" s="67" t="s">
        <v>919</v>
      </c>
      <c r="B250" s="165"/>
      <c r="C250" s="92">
        <v>9</v>
      </c>
      <c r="D250" s="98" t="s">
        <v>1416</v>
      </c>
      <c r="E250" s="97" t="s">
        <v>606</v>
      </c>
      <c r="F250" s="92" t="s">
        <v>1401</v>
      </c>
      <c r="G250" s="92" t="s">
        <v>29</v>
      </c>
      <c r="H250" s="92" t="s">
        <v>29</v>
      </c>
      <c r="I250" s="115" t="s">
        <v>29</v>
      </c>
      <c r="J250" s="89"/>
      <c r="K250" s="89"/>
      <c r="L250" s="89"/>
      <c r="M250" s="96" t="s">
        <v>29</v>
      </c>
      <c r="N250" s="84"/>
      <c r="O250" s="92" t="s">
        <v>29</v>
      </c>
      <c r="P250" s="93" t="s">
        <v>29</v>
      </c>
      <c r="Q250" s="97" t="s">
        <v>29</v>
      </c>
      <c r="R250" s="92" t="s">
        <v>29</v>
      </c>
      <c r="S250" s="92" t="s">
        <v>29</v>
      </c>
      <c r="T250" s="92" t="s">
        <v>29</v>
      </c>
      <c r="U250" s="115" t="s">
        <v>29</v>
      </c>
    </row>
    <row r="251" spans="1:21" ht="13.2" x14ac:dyDescent="0.25">
      <c r="A251" s="67" t="s">
        <v>919</v>
      </c>
      <c r="B251" s="165"/>
      <c r="C251" s="92">
        <v>10</v>
      </c>
      <c r="D251" s="98" t="s">
        <v>1417</v>
      </c>
      <c r="E251" s="97" t="s">
        <v>609</v>
      </c>
      <c r="F251" s="92" t="s">
        <v>1401</v>
      </c>
      <c r="G251" s="92" t="s">
        <v>29</v>
      </c>
      <c r="H251" s="92" t="s">
        <v>29</v>
      </c>
      <c r="I251" s="115" t="s">
        <v>29</v>
      </c>
      <c r="J251" s="89"/>
      <c r="K251" s="89"/>
      <c r="L251" s="89"/>
      <c r="M251" s="96" t="s">
        <v>29</v>
      </c>
      <c r="N251" s="84"/>
      <c r="O251" s="92" t="s">
        <v>29</v>
      </c>
      <c r="P251" s="93" t="s">
        <v>29</v>
      </c>
      <c r="Q251" s="97" t="s">
        <v>29</v>
      </c>
      <c r="R251" s="92" t="s">
        <v>29</v>
      </c>
      <c r="S251" s="92" t="s">
        <v>29</v>
      </c>
      <c r="T251" s="92" t="s">
        <v>29</v>
      </c>
      <c r="U251" s="115" t="s">
        <v>29</v>
      </c>
    </row>
    <row r="252" spans="1:21" ht="13.2" x14ac:dyDescent="0.25">
      <c r="A252" s="67" t="s">
        <v>919</v>
      </c>
      <c r="B252" s="165"/>
      <c r="C252" s="92">
        <v>11</v>
      </c>
      <c r="D252" s="98" t="s">
        <v>1418</v>
      </c>
      <c r="E252" s="97" t="s">
        <v>181</v>
      </c>
      <c r="F252" s="92" t="s">
        <v>1400</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29</v>
      </c>
      <c r="B253" s="165"/>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165"/>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165"/>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165"/>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165"/>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165"/>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165"/>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165"/>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165"/>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165"/>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165"/>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165"/>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165"/>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165"/>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165"/>
      <c r="C267" s="219" t="s">
        <v>954</v>
      </c>
      <c r="D267" s="220"/>
      <c r="E267" s="220"/>
      <c r="F267" s="220"/>
      <c r="G267" s="99">
        <v>6</v>
      </c>
      <c r="H267" s="99">
        <v>3</v>
      </c>
      <c r="I267" s="115" t="s">
        <v>29</v>
      </c>
      <c r="J267" s="89"/>
      <c r="K267" s="89"/>
      <c r="L267" s="89"/>
      <c r="M267" s="96" t="s">
        <v>29</v>
      </c>
      <c r="N267" s="84"/>
      <c r="O267" s="219" t="s">
        <v>955</v>
      </c>
      <c r="P267" s="220"/>
      <c r="Q267" s="220"/>
      <c r="R267" s="220"/>
      <c r="S267" s="99">
        <v>0</v>
      </c>
      <c r="T267" s="99">
        <v>9</v>
      </c>
      <c r="U267" s="115" t="s">
        <v>29</v>
      </c>
    </row>
    <row r="268" spans="1:21" ht="13.2" x14ac:dyDescent="0.25">
      <c r="A268" s="67" t="s">
        <v>29</v>
      </c>
      <c r="B268" s="166"/>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67"/>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68"/>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69"/>
      <c r="C271" s="92">
        <v>1</v>
      </c>
      <c r="D271" s="93" t="s">
        <v>1419</v>
      </c>
      <c r="E271" s="94" t="s">
        <v>615</v>
      </c>
      <c r="F271" s="92" t="s">
        <v>1401</v>
      </c>
      <c r="G271" s="92" t="s">
        <v>29</v>
      </c>
      <c r="H271" s="92">
        <v>5</v>
      </c>
      <c r="I271" s="116" t="s">
        <v>29</v>
      </c>
      <c r="J271" s="89"/>
      <c r="K271" s="89"/>
      <c r="L271" s="89"/>
      <c r="M271" s="96" t="s">
        <v>925</v>
      </c>
      <c r="N271" s="108"/>
      <c r="O271" s="92">
        <v>1</v>
      </c>
      <c r="P271" s="93" t="s">
        <v>1420</v>
      </c>
      <c r="Q271" s="94" t="s">
        <v>192</v>
      </c>
      <c r="R271" s="92" t="s">
        <v>1400</v>
      </c>
      <c r="S271" s="92">
        <v>5</v>
      </c>
      <c r="T271" s="92" t="s">
        <v>29</v>
      </c>
      <c r="U271" s="116" t="s">
        <v>29</v>
      </c>
    </row>
    <row r="272" spans="1:21" ht="13.2" x14ac:dyDescent="0.25">
      <c r="A272" s="67" t="s">
        <v>923</v>
      </c>
      <c r="B272" s="169"/>
      <c r="C272" s="92">
        <v>2</v>
      </c>
      <c r="D272" s="93" t="s">
        <v>1421</v>
      </c>
      <c r="E272" s="97" t="s">
        <v>190</v>
      </c>
      <c r="F272" s="92" t="s">
        <v>1400</v>
      </c>
      <c r="G272" s="92">
        <v>3</v>
      </c>
      <c r="H272" s="92" t="s">
        <v>29</v>
      </c>
      <c r="I272" s="116" t="s">
        <v>29</v>
      </c>
      <c r="J272" s="89"/>
      <c r="K272" s="89"/>
      <c r="L272" s="89"/>
      <c r="M272" s="96" t="s">
        <v>925</v>
      </c>
      <c r="N272" s="108"/>
      <c r="O272" s="92">
        <v>2</v>
      </c>
      <c r="P272" s="93" t="s">
        <v>1422</v>
      </c>
      <c r="Q272" s="97" t="s">
        <v>619</v>
      </c>
      <c r="R272" s="92" t="s">
        <v>1401</v>
      </c>
      <c r="S272" s="92" t="s">
        <v>29</v>
      </c>
      <c r="T272" s="92">
        <v>3</v>
      </c>
      <c r="U272" s="116" t="s">
        <v>29</v>
      </c>
    </row>
    <row r="273" spans="1:21" ht="13.2" x14ac:dyDescent="0.25">
      <c r="A273" s="67" t="s">
        <v>923</v>
      </c>
      <c r="B273" s="169"/>
      <c r="C273" s="92">
        <v>3</v>
      </c>
      <c r="D273" s="93" t="s">
        <v>1423</v>
      </c>
      <c r="E273" s="97" t="s">
        <v>189</v>
      </c>
      <c r="F273" s="92" t="s">
        <v>1400</v>
      </c>
      <c r="G273" s="92">
        <v>1</v>
      </c>
      <c r="H273" s="92" t="s">
        <v>29</v>
      </c>
      <c r="I273" s="116" t="s">
        <v>29</v>
      </c>
      <c r="J273" s="89"/>
      <c r="K273" s="89"/>
      <c r="L273" s="89"/>
      <c r="M273" s="96" t="s">
        <v>925</v>
      </c>
      <c r="N273" s="108"/>
      <c r="O273" s="92">
        <v>3</v>
      </c>
      <c r="P273" s="93" t="s">
        <v>1424</v>
      </c>
      <c r="Q273" s="97" t="s">
        <v>191</v>
      </c>
      <c r="R273" s="92" t="s">
        <v>1400</v>
      </c>
      <c r="S273" s="92">
        <v>1</v>
      </c>
      <c r="T273" s="92" t="s">
        <v>29</v>
      </c>
      <c r="U273" s="116" t="s">
        <v>29</v>
      </c>
    </row>
    <row r="274" spans="1:21" ht="13.2" x14ac:dyDescent="0.25">
      <c r="A274" s="67" t="s">
        <v>923</v>
      </c>
      <c r="B274" s="169"/>
      <c r="C274" s="92">
        <v>4</v>
      </c>
      <c r="D274" s="93" t="s">
        <v>1425</v>
      </c>
      <c r="E274" s="97" t="s">
        <v>616</v>
      </c>
      <c r="F274" s="92" t="s">
        <v>1401</v>
      </c>
      <c r="G274" s="92" t="s">
        <v>29</v>
      </c>
      <c r="H274" s="92" t="s">
        <v>29</v>
      </c>
      <c r="I274" s="116" t="s">
        <v>29</v>
      </c>
      <c r="J274" s="89"/>
      <c r="K274" s="89"/>
      <c r="L274" s="89"/>
      <c r="M274" s="96" t="s">
        <v>29</v>
      </c>
      <c r="N274" s="108"/>
      <c r="O274" s="92" t="s">
        <v>29</v>
      </c>
      <c r="P274" s="93" t="s">
        <v>29</v>
      </c>
      <c r="Q274" s="97" t="s">
        <v>29</v>
      </c>
      <c r="R274" s="92" t="s">
        <v>29</v>
      </c>
      <c r="S274" s="92" t="s">
        <v>29</v>
      </c>
      <c r="T274" s="92" t="s">
        <v>29</v>
      </c>
      <c r="U274" s="116" t="s">
        <v>29</v>
      </c>
    </row>
    <row r="275" spans="1:21" ht="13.2" x14ac:dyDescent="0.25">
      <c r="A275" s="67" t="s">
        <v>923</v>
      </c>
      <c r="B275" s="169"/>
      <c r="C275" s="92">
        <v>5</v>
      </c>
      <c r="D275" s="93" t="s">
        <v>1426</v>
      </c>
      <c r="E275" s="97" t="s">
        <v>617</v>
      </c>
      <c r="F275" s="92" t="s">
        <v>1401</v>
      </c>
      <c r="G275" s="92" t="s">
        <v>29</v>
      </c>
      <c r="H275" s="92" t="s">
        <v>29</v>
      </c>
      <c r="I275" s="116" t="s">
        <v>29</v>
      </c>
      <c r="J275" s="89"/>
      <c r="K275" s="89"/>
      <c r="L275" s="89"/>
      <c r="M275" s="96" t="s">
        <v>29</v>
      </c>
      <c r="N275" s="108"/>
      <c r="O275" s="92" t="s">
        <v>29</v>
      </c>
      <c r="P275" s="93" t="s">
        <v>29</v>
      </c>
      <c r="Q275" s="97" t="s">
        <v>29</v>
      </c>
      <c r="R275" s="92" t="s">
        <v>29</v>
      </c>
      <c r="S275" s="92" t="s">
        <v>29</v>
      </c>
      <c r="T275" s="92" t="s">
        <v>29</v>
      </c>
      <c r="U275" s="116" t="s">
        <v>29</v>
      </c>
    </row>
    <row r="276" spans="1:21" ht="26.4" x14ac:dyDescent="0.25">
      <c r="A276" s="67" t="s">
        <v>923</v>
      </c>
      <c r="B276" s="169"/>
      <c r="C276" s="92">
        <v>6</v>
      </c>
      <c r="D276" s="93" t="s">
        <v>1427</v>
      </c>
      <c r="E276" s="97" t="s">
        <v>618</v>
      </c>
      <c r="F276" s="92" t="s">
        <v>1401</v>
      </c>
      <c r="G276" s="92" t="s">
        <v>29</v>
      </c>
      <c r="H276" s="92" t="s">
        <v>29</v>
      </c>
      <c r="I276" s="116" t="s">
        <v>29</v>
      </c>
      <c r="J276" s="89"/>
      <c r="K276" s="89"/>
      <c r="L276" s="89"/>
      <c r="M276" s="96" t="s">
        <v>29</v>
      </c>
      <c r="N276" s="108"/>
      <c r="O276" s="92" t="s">
        <v>29</v>
      </c>
      <c r="P276" s="93" t="s">
        <v>29</v>
      </c>
      <c r="Q276" s="97" t="s">
        <v>29</v>
      </c>
      <c r="R276" s="92" t="s">
        <v>29</v>
      </c>
      <c r="S276" s="92" t="s">
        <v>29</v>
      </c>
      <c r="T276" s="92" t="s">
        <v>29</v>
      </c>
      <c r="U276" s="116" t="s">
        <v>29</v>
      </c>
    </row>
    <row r="277" spans="1:21" ht="13.2" x14ac:dyDescent="0.25">
      <c r="A277" s="67" t="s">
        <v>29</v>
      </c>
      <c r="B277" s="169"/>
      <c r="C277" s="92" t="s">
        <v>29</v>
      </c>
      <c r="D277" s="93" t="s">
        <v>29</v>
      </c>
      <c r="E277" s="97" t="s">
        <v>29</v>
      </c>
      <c r="F277" s="92" t="s">
        <v>29</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69"/>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69"/>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69"/>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69"/>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69"/>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69"/>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69"/>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69"/>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69"/>
      <c r="C286" s="219" t="s">
        <v>971</v>
      </c>
      <c r="D286" s="220"/>
      <c r="E286" s="220"/>
      <c r="F286" s="222"/>
      <c r="G286" s="99">
        <v>4</v>
      </c>
      <c r="H286" s="99">
        <v>5</v>
      </c>
      <c r="I286" s="116" t="s">
        <v>29</v>
      </c>
      <c r="J286" s="89"/>
      <c r="K286" s="89"/>
      <c r="L286" s="89"/>
      <c r="M286" s="96" t="s">
        <v>29</v>
      </c>
      <c r="N286" s="108"/>
      <c r="O286" s="219" t="s">
        <v>972</v>
      </c>
      <c r="P286" s="220"/>
      <c r="Q286" s="220"/>
      <c r="R286" s="222"/>
      <c r="S286" s="99">
        <v>6</v>
      </c>
      <c r="T286" s="99">
        <v>3</v>
      </c>
      <c r="U286" s="116" t="s">
        <v>29</v>
      </c>
    </row>
    <row r="287" spans="1:21" ht="13.2" x14ac:dyDescent="0.25">
      <c r="A287" s="67" t="s">
        <v>29</v>
      </c>
      <c r="B287" s="166"/>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67"/>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70"/>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165"/>
      <c r="C290" s="92">
        <v>1</v>
      </c>
      <c r="D290" s="93" t="s">
        <v>1428</v>
      </c>
      <c r="E290" s="94" t="s">
        <v>613</v>
      </c>
      <c r="F290" s="92" t="s">
        <v>1401</v>
      </c>
      <c r="G290" s="92" t="s">
        <v>29</v>
      </c>
      <c r="H290" s="92">
        <v>5</v>
      </c>
      <c r="I290" s="115" t="s">
        <v>29</v>
      </c>
      <c r="J290" s="89"/>
      <c r="K290" s="89"/>
      <c r="L290" s="89"/>
      <c r="M290" s="96" t="s">
        <v>929</v>
      </c>
      <c r="N290" s="84"/>
      <c r="O290" s="92">
        <v>1</v>
      </c>
      <c r="P290" s="93" t="s">
        <v>1429</v>
      </c>
      <c r="Q290" s="94" t="s">
        <v>614</v>
      </c>
      <c r="R290" s="92" t="s">
        <v>1401</v>
      </c>
      <c r="S290" s="92" t="s">
        <v>29</v>
      </c>
      <c r="T290" s="92">
        <v>5</v>
      </c>
      <c r="U290" s="115" t="s">
        <v>29</v>
      </c>
    </row>
    <row r="291" spans="1:21" ht="13.2" x14ac:dyDescent="0.25">
      <c r="A291" s="67" t="s">
        <v>29</v>
      </c>
      <c r="B291" s="165"/>
      <c r="C291" s="92" t="s">
        <v>29</v>
      </c>
      <c r="D291" s="93" t="s">
        <v>29</v>
      </c>
      <c r="E291" s="97" t="s">
        <v>29</v>
      </c>
      <c r="F291" s="92" t="s">
        <v>29</v>
      </c>
      <c r="G291" s="92" t="s">
        <v>29</v>
      </c>
      <c r="H291" s="92" t="s">
        <v>29</v>
      </c>
      <c r="I291" s="115" t="s">
        <v>29</v>
      </c>
      <c r="J291" s="89"/>
      <c r="K291" s="89"/>
      <c r="L291" s="89"/>
      <c r="M291" s="96" t="s">
        <v>929</v>
      </c>
      <c r="N291" s="84"/>
      <c r="O291" s="92">
        <v>2</v>
      </c>
      <c r="P291" s="93" t="s">
        <v>1430</v>
      </c>
      <c r="Q291" s="97" t="s">
        <v>187</v>
      </c>
      <c r="R291" s="92" t="s">
        <v>1400</v>
      </c>
      <c r="S291" s="92">
        <v>3</v>
      </c>
      <c r="T291" s="92" t="s">
        <v>29</v>
      </c>
      <c r="U291" s="115" t="s">
        <v>29</v>
      </c>
    </row>
    <row r="292" spans="1:21" ht="13.2" x14ac:dyDescent="0.25">
      <c r="A292" s="67" t="s">
        <v>29</v>
      </c>
      <c r="B292" s="165"/>
      <c r="C292" s="92" t="s">
        <v>29</v>
      </c>
      <c r="D292" s="93" t="s">
        <v>29</v>
      </c>
      <c r="E292" s="97" t="s">
        <v>29</v>
      </c>
      <c r="F292" s="92" t="s">
        <v>29</v>
      </c>
      <c r="G292" s="92" t="s">
        <v>29</v>
      </c>
      <c r="H292" s="92" t="s">
        <v>29</v>
      </c>
      <c r="I292" s="115" t="s">
        <v>29</v>
      </c>
      <c r="J292" s="89"/>
      <c r="K292" s="89"/>
      <c r="L292" s="89"/>
      <c r="M292" s="96" t="s">
        <v>929</v>
      </c>
      <c r="N292" s="84"/>
      <c r="O292" s="92">
        <v>3</v>
      </c>
      <c r="P292" s="93" t="s">
        <v>1431</v>
      </c>
      <c r="Q292" s="97" t="s">
        <v>188</v>
      </c>
      <c r="R292" s="92" t="s">
        <v>1400</v>
      </c>
      <c r="S292" s="92">
        <v>1</v>
      </c>
      <c r="T292" s="92" t="s">
        <v>29</v>
      </c>
      <c r="U292" s="115" t="s">
        <v>29</v>
      </c>
    </row>
    <row r="293" spans="1:21" ht="13.2" x14ac:dyDescent="0.25">
      <c r="A293" s="67" t="s">
        <v>29</v>
      </c>
      <c r="B293" s="165"/>
      <c r="C293" s="92" t="s">
        <v>29</v>
      </c>
      <c r="D293" s="93" t="s">
        <v>29</v>
      </c>
      <c r="E293" s="97" t="s">
        <v>29</v>
      </c>
      <c r="F293" s="92" t="s">
        <v>29</v>
      </c>
      <c r="G293" s="92" t="s">
        <v>29</v>
      </c>
      <c r="H293" s="92" t="s">
        <v>29</v>
      </c>
      <c r="I293" s="115" t="s">
        <v>29</v>
      </c>
      <c r="J293" s="89"/>
      <c r="K293" s="89"/>
      <c r="L293" s="89"/>
      <c r="M293" s="96" t="s">
        <v>929</v>
      </c>
      <c r="N293" s="84"/>
      <c r="O293" s="92">
        <v>4</v>
      </c>
      <c r="P293" s="93" t="s">
        <v>1432</v>
      </c>
      <c r="Q293" s="97" t="s">
        <v>186</v>
      </c>
      <c r="R293" s="92" t="s">
        <v>1400</v>
      </c>
      <c r="S293" s="92" t="s">
        <v>29</v>
      </c>
      <c r="T293" s="92" t="s">
        <v>29</v>
      </c>
      <c r="U293" s="115" t="s">
        <v>29</v>
      </c>
    </row>
    <row r="294" spans="1:21" ht="13.2" x14ac:dyDescent="0.25">
      <c r="A294" s="67" t="s">
        <v>29</v>
      </c>
      <c r="B294" s="165"/>
      <c r="C294" s="92" t="s">
        <v>29</v>
      </c>
      <c r="D294" s="93" t="s">
        <v>29</v>
      </c>
      <c r="E294" s="97" t="s">
        <v>29</v>
      </c>
      <c r="F294" s="92" t="s">
        <v>29</v>
      </c>
      <c r="G294" s="92" t="s">
        <v>29</v>
      </c>
      <c r="H294" s="92" t="s">
        <v>29</v>
      </c>
      <c r="I294" s="115" t="s">
        <v>29</v>
      </c>
      <c r="J294" s="89"/>
      <c r="K294" s="89"/>
      <c r="L294" s="89"/>
      <c r="M294" s="96" t="s">
        <v>929</v>
      </c>
      <c r="N294" s="84"/>
      <c r="O294" s="92">
        <v>5</v>
      </c>
      <c r="P294" s="93" t="s">
        <v>1433</v>
      </c>
      <c r="Q294" s="97" t="s">
        <v>358</v>
      </c>
      <c r="R294" s="92" t="s">
        <v>1401</v>
      </c>
      <c r="S294" s="92" t="s">
        <v>29</v>
      </c>
      <c r="T294" s="92" t="s">
        <v>29</v>
      </c>
      <c r="U294" s="115" t="s">
        <v>29</v>
      </c>
    </row>
    <row r="295" spans="1:21" ht="13.2" x14ac:dyDescent="0.25">
      <c r="A295" s="67" t="s">
        <v>29</v>
      </c>
      <c r="B295" s="165"/>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165"/>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165"/>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165"/>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165"/>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165"/>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165"/>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165"/>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165"/>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165"/>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165"/>
      <c r="C305" s="219" t="s">
        <v>984</v>
      </c>
      <c r="D305" s="220"/>
      <c r="E305" s="220"/>
      <c r="F305" s="220"/>
      <c r="G305" s="99">
        <v>0</v>
      </c>
      <c r="H305" s="99">
        <v>5</v>
      </c>
      <c r="I305" s="115" t="s">
        <v>29</v>
      </c>
      <c r="J305" s="89"/>
      <c r="K305" s="89"/>
      <c r="L305" s="89"/>
      <c r="M305" s="96" t="s">
        <v>29</v>
      </c>
      <c r="N305" s="84"/>
      <c r="O305" s="219" t="s">
        <v>985</v>
      </c>
      <c r="P305" s="220"/>
      <c r="Q305" s="220"/>
      <c r="R305" s="220"/>
      <c r="S305" s="99">
        <v>4</v>
      </c>
      <c r="T305" s="99">
        <v>5</v>
      </c>
      <c r="U305" s="115" t="s">
        <v>29</v>
      </c>
    </row>
    <row r="306" spans="1:21" ht="13.2" x14ac:dyDescent="0.25">
      <c r="A306" s="67" t="s">
        <v>29</v>
      </c>
      <c r="B306" s="166"/>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67"/>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68"/>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69"/>
      <c r="C309" s="92">
        <v>1</v>
      </c>
      <c r="D309" s="93" t="s">
        <v>1434</v>
      </c>
      <c r="E309" s="94" t="s">
        <v>193</v>
      </c>
      <c r="F309" s="92" t="s">
        <v>1400</v>
      </c>
      <c r="G309" s="92">
        <v>5</v>
      </c>
      <c r="H309" s="92" t="s">
        <v>29</v>
      </c>
      <c r="I309" s="116" t="s">
        <v>29</v>
      </c>
      <c r="J309" s="89"/>
      <c r="K309" s="89"/>
      <c r="L309" s="89"/>
      <c r="M309" s="96" t="s">
        <v>933</v>
      </c>
      <c r="N309" s="108"/>
      <c r="O309" s="92">
        <v>1</v>
      </c>
      <c r="P309" s="93" t="s">
        <v>1435</v>
      </c>
      <c r="Q309" s="94" t="s">
        <v>195</v>
      </c>
      <c r="R309" s="92" t="s">
        <v>1400</v>
      </c>
      <c r="S309" s="92">
        <v>5</v>
      </c>
      <c r="T309" s="92" t="s">
        <v>29</v>
      </c>
      <c r="U309" s="116" t="s">
        <v>29</v>
      </c>
    </row>
    <row r="310" spans="1:21" ht="13.2" x14ac:dyDescent="0.25">
      <c r="A310" s="67" t="s">
        <v>29</v>
      </c>
      <c r="B310" s="169"/>
      <c r="C310" s="92" t="s">
        <v>29</v>
      </c>
      <c r="D310" s="93" t="s">
        <v>29</v>
      </c>
      <c r="E310" s="97" t="s">
        <v>29</v>
      </c>
      <c r="F310" s="92" t="s">
        <v>29</v>
      </c>
      <c r="G310" s="92" t="s">
        <v>29</v>
      </c>
      <c r="H310" s="92" t="s">
        <v>29</v>
      </c>
      <c r="I310" s="116" t="s">
        <v>29</v>
      </c>
      <c r="J310" s="89"/>
      <c r="K310" s="89"/>
      <c r="L310" s="89"/>
      <c r="M310" s="96" t="s">
        <v>933</v>
      </c>
      <c r="N310" s="108"/>
      <c r="O310" s="92">
        <v>2</v>
      </c>
      <c r="P310" s="93" t="s">
        <v>1436</v>
      </c>
      <c r="Q310" s="97" t="s">
        <v>621</v>
      </c>
      <c r="R310" s="92" t="s">
        <v>1401</v>
      </c>
      <c r="S310" s="92" t="s">
        <v>29</v>
      </c>
      <c r="T310" s="92">
        <v>3</v>
      </c>
      <c r="U310" s="116" t="s">
        <v>29</v>
      </c>
    </row>
    <row r="311" spans="1:21" ht="13.2" x14ac:dyDescent="0.25">
      <c r="A311" s="67" t="s">
        <v>29</v>
      </c>
      <c r="B311" s="169"/>
      <c r="C311" s="92" t="s">
        <v>29</v>
      </c>
      <c r="D311" s="93" t="s">
        <v>29</v>
      </c>
      <c r="E311" s="97" t="s">
        <v>29</v>
      </c>
      <c r="F311" s="92" t="s">
        <v>29</v>
      </c>
      <c r="G311" s="92" t="s">
        <v>29</v>
      </c>
      <c r="H311" s="92" t="s">
        <v>29</v>
      </c>
      <c r="I311" s="116" t="s">
        <v>29</v>
      </c>
      <c r="J311" s="89"/>
      <c r="K311" s="89"/>
      <c r="L311" s="89"/>
      <c r="M311" s="96" t="s">
        <v>933</v>
      </c>
      <c r="N311" s="108"/>
      <c r="O311" s="92">
        <v>3</v>
      </c>
      <c r="P311" s="93" t="s">
        <v>1437</v>
      </c>
      <c r="Q311" s="97" t="s">
        <v>622</v>
      </c>
      <c r="R311" s="92" t="s">
        <v>1401</v>
      </c>
      <c r="S311" s="92" t="s">
        <v>29</v>
      </c>
      <c r="T311" s="92">
        <v>1</v>
      </c>
      <c r="U311" s="116" t="s">
        <v>29</v>
      </c>
    </row>
    <row r="312" spans="1:21" ht="13.2" x14ac:dyDescent="0.25">
      <c r="A312" s="67" t="s">
        <v>29</v>
      </c>
      <c r="B312" s="169"/>
      <c r="C312" s="92" t="s">
        <v>29</v>
      </c>
      <c r="D312" s="93" t="s">
        <v>29</v>
      </c>
      <c r="E312" s="97" t="s">
        <v>29</v>
      </c>
      <c r="F312" s="92" t="s">
        <v>29</v>
      </c>
      <c r="G312" s="92" t="s">
        <v>29</v>
      </c>
      <c r="H312" s="92" t="s">
        <v>29</v>
      </c>
      <c r="I312" s="116" t="s">
        <v>29</v>
      </c>
      <c r="J312" s="89"/>
      <c r="K312" s="89"/>
      <c r="L312" s="89"/>
      <c r="M312" s="96" t="s">
        <v>933</v>
      </c>
      <c r="N312" s="108"/>
      <c r="O312" s="92">
        <v>4</v>
      </c>
      <c r="P312" s="93" t="s">
        <v>1438</v>
      </c>
      <c r="Q312" s="97" t="s">
        <v>194</v>
      </c>
      <c r="R312" s="92" t="s">
        <v>1400</v>
      </c>
      <c r="S312" s="92" t="s">
        <v>29</v>
      </c>
      <c r="T312" s="92" t="s">
        <v>29</v>
      </c>
      <c r="U312" s="116" t="s">
        <v>29</v>
      </c>
    </row>
    <row r="313" spans="1:21" ht="13.2" x14ac:dyDescent="0.25">
      <c r="A313" s="67" t="s">
        <v>29</v>
      </c>
      <c r="B313" s="169"/>
      <c r="C313" s="92" t="s">
        <v>29</v>
      </c>
      <c r="D313" s="93" t="s">
        <v>29</v>
      </c>
      <c r="E313" s="97" t="s">
        <v>29</v>
      </c>
      <c r="F313" s="92" t="s">
        <v>29</v>
      </c>
      <c r="G313" s="92" t="s">
        <v>29</v>
      </c>
      <c r="H313" s="92" t="s">
        <v>29</v>
      </c>
      <c r="I313" s="116" t="s">
        <v>29</v>
      </c>
      <c r="J313" s="89"/>
      <c r="K313" s="89"/>
      <c r="L313" s="89"/>
      <c r="M313" s="96" t="s">
        <v>933</v>
      </c>
      <c r="N313" s="108"/>
      <c r="O313" s="92">
        <v>5</v>
      </c>
      <c r="P313" s="93" t="s">
        <v>1439</v>
      </c>
      <c r="Q313" s="97" t="s">
        <v>620</v>
      </c>
      <c r="R313" s="92" t="s">
        <v>1401</v>
      </c>
      <c r="S313" s="92" t="s">
        <v>29</v>
      </c>
      <c r="T313" s="92" t="s">
        <v>29</v>
      </c>
      <c r="U313" s="116" t="s">
        <v>29</v>
      </c>
    </row>
    <row r="314" spans="1:21" ht="13.2" x14ac:dyDescent="0.25">
      <c r="A314" s="67" t="s">
        <v>29</v>
      </c>
      <c r="B314" s="169"/>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69"/>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69"/>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69"/>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69"/>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69"/>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69"/>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69"/>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69"/>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69"/>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69"/>
      <c r="C324" s="219" t="s">
        <v>995</v>
      </c>
      <c r="D324" s="220"/>
      <c r="E324" s="220"/>
      <c r="F324" s="220"/>
      <c r="G324" s="99">
        <v>5</v>
      </c>
      <c r="H324" s="99">
        <v>0</v>
      </c>
      <c r="I324" s="116" t="s">
        <v>29</v>
      </c>
      <c r="J324" s="89"/>
      <c r="K324" s="89"/>
      <c r="L324" s="89"/>
      <c r="M324" s="96" t="s">
        <v>29</v>
      </c>
      <c r="N324" s="108"/>
      <c r="O324" s="219" t="s">
        <v>996</v>
      </c>
      <c r="P324" s="220"/>
      <c r="Q324" s="220"/>
      <c r="R324" s="220"/>
      <c r="S324" s="99">
        <v>5</v>
      </c>
      <c r="T324" s="99">
        <v>4</v>
      </c>
      <c r="U324" s="116" t="s">
        <v>29</v>
      </c>
    </row>
    <row r="325" spans="1:21" ht="13.2" x14ac:dyDescent="0.25">
      <c r="A325" s="67"/>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C326" s="118" t="s">
        <v>997</v>
      </c>
      <c r="D326" s="89"/>
      <c r="E326" s="89"/>
      <c r="F326" s="89"/>
      <c r="G326" s="89"/>
      <c r="H326" s="89"/>
      <c r="I326" s="89" t="s">
        <v>29</v>
      </c>
      <c r="J326" s="89"/>
      <c r="K326" s="89"/>
      <c r="L326" s="89"/>
      <c r="M326" s="96"/>
      <c r="N326" s="119"/>
      <c r="O326" s="120" t="s">
        <v>998</v>
      </c>
      <c r="P326" s="119"/>
      <c r="Q326" s="221" t="s">
        <v>1440</v>
      </c>
      <c r="R326" s="220"/>
      <c r="S326" s="220"/>
      <c r="T326" s="222"/>
      <c r="U326" s="66" t="s">
        <v>29</v>
      </c>
    </row>
    <row r="327" spans="1:21" ht="13.2" x14ac:dyDescent="0.25">
      <c r="A327" s="67"/>
      <c r="C327" s="245" t="s">
        <v>1441</v>
      </c>
      <c r="D327" s="227"/>
      <c r="E327" s="227"/>
      <c r="F327" s="227"/>
      <c r="G327" s="227"/>
      <c r="H327" s="228"/>
      <c r="I327" s="89" t="s">
        <v>29</v>
      </c>
      <c r="J327" s="89"/>
      <c r="K327" s="89"/>
      <c r="L327" s="89"/>
      <c r="M327" s="96"/>
      <c r="N327" s="119"/>
      <c r="O327" s="120" t="s">
        <v>1001</v>
      </c>
      <c r="P327" s="121"/>
      <c r="Q327" s="221" t="s">
        <v>1442</v>
      </c>
      <c r="R327" s="220"/>
      <c r="S327" s="220"/>
      <c r="T327" s="222"/>
      <c r="U327" s="66" t="s">
        <v>29</v>
      </c>
    </row>
    <row r="328" spans="1:21" ht="13.2" x14ac:dyDescent="0.25">
      <c r="A328" s="67"/>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C329" s="118" t="s">
        <v>1003</v>
      </c>
      <c r="D329" s="122"/>
      <c r="E329" s="225" t="s">
        <v>1442</v>
      </c>
      <c r="F329" s="220"/>
      <c r="G329" s="220"/>
      <c r="H329" s="222"/>
      <c r="I329" s="89" t="s">
        <v>29</v>
      </c>
      <c r="J329" s="89"/>
      <c r="K329" s="89"/>
      <c r="L329" s="89"/>
      <c r="M329" s="96"/>
      <c r="N329" s="119"/>
      <c r="O329" s="118" t="s">
        <v>1004</v>
      </c>
      <c r="P329" s="122"/>
      <c r="Q329" s="225" t="s">
        <v>1443</v>
      </c>
      <c r="R329" s="220"/>
      <c r="S329" s="220"/>
      <c r="T329" s="222"/>
      <c r="U329" s="66" t="s">
        <v>29</v>
      </c>
    </row>
    <row r="330" spans="1:21" ht="13.2" x14ac:dyDescent="0.25">
      <c r="A330" s="67"/>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C331" s="242"/>
      <c r="D331" s="227"/>
      <c r="E331" s="227"/>
      <c r="F331" s="227"/>
      <c r="G331" s="227"/>
      <c r="H331" s="228"/>
      <c r="I331" s="66" t="s">
        <v>29</v>
      </c>
      <c r="J331" s="66"/>
      <c r="K331" s="66"/>
      <c r="L331" s="66"/>
      <c r="M331" s="74"/>
      <c r="N331" s="123"/>
      <c r="O331" s="226"/>
      <c r="P331" s="227"/>
      <c r="Q331" s="227"/>
      <c r="R331" s="227"/>
      <c r="S331" s="227"/>
      <c r="T331" s="228"/>
      <c r="U331" s="66" t="s">
        <v>29</v>
      </c>
    </row>
    <row r="332" spans="1:21" ht="13.2" x14ac:dyDescent="0.25">
      <c r="C332" s="229"/>
      <c r="D332" s="224"/>
      <c r="E332" s="224"/>
      <c r="F332" s="224"/>
      <c r="G332" s="224"/>
      <c r="H332" s="230"/>
      <c r="I332" s="66" t="s">
        <v>29</v>
      </c>
      <c r="J332" s="66"/>
      <c r="K332" s="66"/>
      <c r="L332" s="66"/>
      <c r="M332" s="74"/>
      <c r="N332" s="123"/>
      <c r="O332" s="229"/>
      <c r="P332" s="224"/>
      <c r="Q332" s="224"/>
      <c r="R332" s="224"/>
      <c r="S332" s="224"/>
      <c r="T332" s="230"/>
      <c r="U332" t="s">
        <v>29</v>
      </c>
    </row>
    <row r="333" spans="1:21" ht="13.2" x14ac:dyDescent="0.25">
      <c r="C333" s="229"/>
      <c r="D333" s="224"/>
      <c r="E333" s="224"/>
      <c r="F333" s="224"/>
      <c r="G333" s="224"/>
      <c r="H333" s="230"/>
      <c r="I333" s="66" t="s">
        <v>29</v>
      </c>
      <c r="J333" s="66"/>
      <c r="K333" s="66"/>
      <c r="L333" s="66"/>
      <c r="M333" s="74"/>
      <c r="N333" s="123"/>
      <c r="O333" s="229"/>
      <c r="P333" s="224"/>
      <c r="Q333" s="224"/>
      <c r="R333" s="224"/>
      <c r="S333" s="224"/>
      <c r="T333" s="230"/>
      <c r="U333" t="s">
        <v>29</v>
      </c>
    </row>
    <row r="334" spans="1:21" ht="13.2" x14ac:dyDescent="0.25">
      <c r="C334" s="231"/>
      <c r="D334" s="232"/>
      <c r="E334" s="232"/>
      <c r="F334" s="232"/>
      <c r="G334" s="232"/>
      <c r="H334" s="233"/>
      <c r="I334" s="66" t="s">
        <v>29</v>
      </c>
      <c r="J334" s="66"/>
      <c r="K334" s="66"/>
      <c r="L334" s="66"/>
      <c r="M334" s="74"/>
      <c r="N334" s="123"/>
      <c r="O334" s="231"/>
      <c r="P334" s="232"/>
      <c r="Q334" s="232"/>
      <c r="R334" s="232"/>
      <c r="S334" s="232"/>
      <c r="T334" s="233"/>
      <c r="U334" t="s">
        <v>29</v>
      </c>
    </row>
    <row r="335" spans="1:21" ht="13.2" x14ac:dyDescent="0.25">
      <c r="C335" s="117"/>
      <c r="I335" t="s">
        <v>29</v>
      </c>
      <c r="O335" s="66"/>
      <c r="U335" t="s">
        <v>29</v>
      </c>
    </row>
    <row r="336" spans="1:21" ht="13.2" x14ac:dyDescent="0.25">
      <c r="C336" s="117"/>
      <c r="I336" t="s">
        <v>29</v>
      </c>
      <c r="O336" s="66"/>
      <c r="U336" t="s">
        <v>29</v>
      </c>
    </row>
    <row r="337" spans="3:21" ht="13.2" x14ac:dyDescent="0.25">
      <c r="C337" s="117"/>
      <c r="I337" t="s">
        <v>29</v>
      </c>
      <c r="O337" s="66"/>
      <c r="U337" t="s">
        <v>29</v>
      </c>
    </row>
    <row r="338" spans="3:21" ht="13.2" x14ac:dyDescent="0.25">
      <c r="C338" s="117"/>
      <c r="I338" t="s">
        <v>29</v>
      </c>
      <c r="O338" s="66"/>
      <c r="U338" t="s">
        <v>29</v>
      </c>
    </row>
    <row r="339" spans="3:21" ht="13.2" x14ac:dyDescent="0.25">
      <c r="C339" s="117"/>
      <c r="I339" t="s">
        <v>29</v>
      </c>
      <c r="O339" s="66"/>
      <c r="U339" t="s">
        <v>29</v>
      </c>
    </row>
    <row r="340" spans="3:21" ht="13.2" x14ac:dyDescent="0.25">
      <c r="C340" s="117"/>
      <c r="I340" t="s">
        <v>29</v>
      </c>
      <c r="O340" s="66"/>
      <c r="U340" t="s">
        <v>29</v>
      </c>
    </row>
    <row r="341" spans="3:21" ht="13.2" x14ac:dyDescent="0.25">
      <c r="C341" s="117"/>
      <c r="O341" s="66"/>
    </row>
    <row r="342" spans="3:21" ht="13.2" x14ac:dyDescent="0.25">
      <c r="C342" s="117"/>
      <c r="O342" s="66"/>
    </row>
    <row r="343" spans="3:21" ht="13.2" x14ac:dyDescent="0.25">
      <c r="C343" s="117"/>
      <c r="O343" s="66"/>
    </row>
    <row r="344" spans="3:21" ht="13.2" x14ac:dyDescent="0.25">
      <c r="C344" s="117"/>
      <c r="O344" s="66"/>
    </row>
    <row r="345" spans="3:21" ht="13.2" x14ac:dyDescent="0.25">
      <c r="C345" s="117"/>
      <c r="O345" s="66"/>
    </row>
    <row r="346" spans="3:21" ht="13.2" x14ac:dyDescent="0.25">
      <c r="C346" s="117"/>
      <c r="O346" s="66"/>
    </row>
    <row r="347" spans="3:21" ht="13.2" x14ac:dyDescent="0.25">
      <c r="C347" s="117"/>
      <c r="O347" s="66"/>
    </row>
    <row r="348" spans="3:21" ht="13.2" x14ac:dyDescent="0.25">
      <c r="C348" s="117"/>
      <c r="O348" s="66"/>
    </row>
    <row r="349" spans="3:21" ht="13.2" x14ac:dyDescent="0.25">
      <c r="C349" s="117"/>
      <c r="O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11" priority="1" operator="equal">
      <formula>0</formula>
    </cfRule>
  </conditionalFormatting>
  <hyperlinks>
    <hyperlink ref="B3" location="null!a6" display="1" xr:uid="{00000000-0004-0000-0400-000000000000}"/>
    <hyperlink ref="D3" location="null!a6" display="LG-Lee Graham" xr:uid="{00000000-0004-0000-0400-000001000000}"/>
    <hyperlink ref="P3" location="null!a6" display="G-Greenbriar" xr:uid="{00000000-0004-0000-0400-000002000000}"/>
    <hyperlink ref="B4" location="null!a116" display="2" xr:uid="{00000000-0004-0000-0400-000003000000}"/>
    <hyperlink ref="D4" location="null!a116" display="FS-Fairfax Station" xr:uid="{00000000-0004-0000-0400-000004000000}"/>
    <hyperlink ref="P4" location="null!a116" display="WG-Walden Glen" xr:uid="{00000000-0004-0000-0400-000005000000}"/>
    <hyperlink ref="B5" location="null!a226" display="3" xr:uid="{00000000-0004-0000-0400-000006000000}"/>
    <hyperlink ref="D5" location="null!a226" display="DL-Dunn Loring" xr:uid="{00000000-0004-0000-0400-000007000000}"/>
    <hyperlink ref="P5" location="null!a226" display="PAR-Parliament" xr:uid="{00000000-0004-0000-0400-000008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AAAA"/>
    <outlinePr summaryBelow="0" summaryRight="0"/>
  </sheetPr>
  <dimension ref="A1:U349"/>
  <sheetViews>
    <sheetView workbookViewId="0">
      <pane ySplit="5" topLeftCell="A6"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20.77734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1.8" customHeight="1" x14ac:dyDescent="0.45">
      <c r="A1" s="42" t="s">
        <v>29</v>
      </c>
      <c r="B1" s="43"/>
      <c r="C1" s="6"/>
      <c r="D1" s="44">
        <v>45461</v>
      </c>
      <c r="E1" s="8"/>
      <c r="F1" s="45" t="s">
        <v>911</v>
      </c>
      <c r="G1" s="9"/>
      <c r="H1" s="8"/>
      <c r="I1" s="10"/>
      <c r="J1" s="10"/>
      <c r="K1" s="10"/>
      <c r="L1" s="10"/>
      <c r="M1" s="10"/>
      <c r="N1" s="10"/>
      <c r="O1" s="10"/>
      <c r="P1" s="10"/>
      <c r="Q1" s="46" t="s">
        <v>1</v>
      </c>
      <c r="R1" s="246">
        <v>4</v>
      </c>
      <c r="S1" s="313"/>
      <c r="T1" s="313"/>
      <c r="U1" s="12"/>
    </row>
    <row r="2" spans="1:21" ht="17.399999999999999" x14ac:dyDescent="0.3">
      <c r="B2" s="247" t="s">
        <v>0</v>
      </c>
      <c r="C2" s="247"/>
      <c r="D2" s="17" t="s">
        <v>859</v>
      </c>
      <c r="E2" s="9"/>
      <c r="F2" s="217" t="s">
        <v>2</v>
      </c>
      <c r="G2" s="217"/>
      <c r="H2" s="217"/>
      <c r="I2" s="249" t="s">
        <v>29</v>
      </c>
      <c r="J2" s="249"/>
      <c r="K2" s="249"/>
      <c r="L2" s="8"/>
      <c r="M2" s="8"/>
      <c r="N2" s="8"/>
      <c r="O2" s="8"/>
      <c r="P2" s="17" t="s">
        <v>860</v>
      </c>
      <c r="Q2" s="9"/>
      <c r="R2" s="317" t="s">
        <v>2</v>
      </c>
      <c r="S2" s="317"/>
      <c r="T2" s="317"/>
      <c r="U2" s="9" t="s">
        <v>29</v>
      </c>
    </row>
    <row r="3" spans="1:21" ht="15.6" x14ac:dyDescent="0.3">
      <c r="A3" s="47">
        <v>1</v>
      </c>
      <c r="B3" s="27">
        <v>1</v>
      </c>
      <c r="C3" s="8"/>
      <c r="D3" s="272" t="s">
        <v>880</v>
      </c>
      <c r="E3" s="314"/>
      <c r="F3" s="251">
        <v>40</v>
      </c>
      <c r="G3" s="315"/>
      <c r="H3" s="316"/>
      <c r="I3" s="48">
        <v>0</v>
      </c>
      <c r="J3" s="8"/>
      <c r="K3" s="49">
        <v>32</v>
      </c>
      <c r="L3" s="50" t="s">
        <v>11</v>
      </c>
      <c r="M3" s="8"/>
      <c r="N3" s="51">
        <v>10</v>
      </c>
      <c r="O3" s="8"/>
      <c r="P3" s="273" t="s">
        <v>881</v>
      </c>
      <c r="Q3" s="318"/>
      <c r="R3" s="253">
        <v>32</v>
      </c>
      <c r="S3" s="319"/>
      <c r="T3" s="320"/>
      <c r="U3" s="48">
        <v>0</v>
      </c>
    </row>
    <row r="4" spans="1:21" ht="15.6" x14ac:dyDescent="0.3">
      <c r="A4" s="47">
        <v>2</v>
      </c>
      <c r="B4" s="27">
        <v>2</v>
      </c>
      <c r="C4" s="52"/>
      <c r="D4" s="272" t="s">
        <v>882</v>
      </c>
      <c r="E4" s="314"/>
      <c r="F4" s="251">
        <v>24</v>
      </c>
      <c r="G4" s="315"/>
      <c r="H4" s="315"/>
      <c r="I4" s="48">
        <v>0</v>
      </c>
      <c r="J4" s="31"/>
      <c r="K4" s="49">
        <v>19</v>
      </c>
      <c r="L4" s="50" t="s">
        <v>11</v>
      </c>
      <c r="M4" s="31"/>
      <c r="N4" s="51">
        <v>21</v>
      </c>
      <c r="O4" s="53"/>
      <c r="P4" s="273" t="s">
        <v>883</v>
      </c>
      <c r="Q4" s="318"/>
      <c r="R4" s="253">
        <v>47</v>
      </c>
      <c r="S4" s="319"/>
      <c r="T4" s="319"/>
      <c r="U4" s="48">
        <v>0</v>
      </c>
    </row>
    <row r="5" spans="1:21" ht="15.6" x14ac:dyDescent="0.3">
      <c r="A5" s="47">
        <v>3</v>
      </c>
      <c r="B5" s="27">
        <v>3</v>
      </c>
      <c r="C5" s="52"/>
      <c r="D5" s="275" t="s">
        <v>884</v>
      </c>
      <c r="E5" s="324"/>
      <c r="F5" s="251">
        <v>27</v>
      </c>
      <c r="G5" s="315"/>
      <c r="H5" s="316"/>
      <c r="I5" s="48">
        <v>0</v>
      </c>
      <c r="J5" s="31"/>
      <c r="K5" s="49">
        <v>29</v>
      </c>
      <c r="L5" s="50" t="s">
        <v>11</v>
      </c>
      <c r="M5" s="31"/>
      <c r="N5" s="51">
        <v>20</v>
      </c>
      <c r="O5" s="53"/>
      <c r="P5" s="274" t="s">
        <v>885</v>
      </c>
      <c r="Q5" s="321"/>
      <c r="R5" s="255">
        <v>45</v>
      </c>
      <c r="S5" s="322"/>
      <c r="T5" s="323"/>
      <c r="U5" s="48">
        <v>0</v>
      </c>
    </row>
    <row r="6" spans="1:21" ht="17.399999999999999" x14ac:dyDescent="0.3">
      <c r="B6" s="54"/>
      <c r="C6" s="6"/>
      <c r="D6" s="55" t="s">
        <v>912</v>
      </c>
      <c r="E6" s="56">
        <v>1</v>
      </c>
      <c r="F6" s="9"/>
      <c r="G6" s="9"/>
      <c r="H6" s="9"/>
      <c r="I6" s="57"/>
      <c r="J6" s="57"/>
      <c r="K6" s="57"/>
      <c r="L6" s="57"/>
      <c r="M6" s="57"/>
      <c r="N6" s="57"/>
      <c r="O6" s="57"/>
      <c r="P6" s="55" t="s">
        <v>913</v>
      </c>
      <c r="Q6" s="259">
        <v>45461</v>
      </c>
      <c r="R6" s="259"/>
      <c r="S6" s="259"/>
      <c r="T6" s="259"/>
      <c r="U6" s="12"/>
    </row>
    <row r="7" spans="1:21" ht="15.6" x14ac:dyDescent="0.3">
      <c r="B7" s="58"/>
      <c r="C7" s="43"/>
      <c r="D7" s="10" t="s">
        <v>914</v>
      </c>
      <c r="E7" s="10"/>
      <c r="F7" s="8"/>
      <c r="G7" s="8"/>
      <c r="H7" s="8"/>
      <c r="I7" s="8"/>
      <c r="J7" s="8"/>
      <c r="K7" s="8"/>
      <c r="L7" s="8"/>
      <c r="M7" s="8"/>
      <c r="N7" s="8"/>
      <c r="O7" s="8"/>
      <c r="P7" s="11" t="s">
        <v>3</v>
      </c>
      <c r="Q7" s="260" t="s">
        <v>863</v>
      </c>
      <c r="R7" s="260"/>
      <c r="S7" s="260"/>
      <c r="T7" s="260"/>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257" t="s">
        <v>859</v>
      </c>
      <c r="D9" s="325"/>
      <c r="E9" s="267" t="s">
        <v>880</v>
      </c>
      <c r="F9" s="326"/>
      <c r="G9" s="327"/>
      <c r="H9" s="140" t="s">
        <v>1444</v>
      </c>
      <c r="I9" s="141"/>
      <c r="J9" s="63"/>
      <c r="K9" s="63"/>
      <c r="L9" s="63"/>
      <c r="M9" s="63"/>
      <c r="N9" s="142"/>
      <c r="O9" s="236" t="s">
        <v>860</v>
      </c>
      <c r="P9" s="290"/>
      <c r="Q9" s="269" t="s">
        <v>881</v>
      </c>
      <c r="R9" s="330"/>
      <c r="S9" s="331"/>
      <c r="T9" s="143" t="s">
        <v>1445</v>
      </c>
      <c r="U9" s="144"/>
    </row>
    <row r="10" spans="1:21" ht="17.399999999999999" x14ac:dyDescent="0.3">
      <c r="B10" s="145"/>
      <c r="C10" s="243" t="s">
        <v>2</v>
      </c>
      <c r="D10" s="335"/>
      <c r="E10" s="328">
        <v>40</v>
      </c>
      <c r="F10" s="268"/>
      <c r="G10" s="329"/>
      <c r="H10" s="146"/>
      <c r="I10" s="141"/>
      <c r="J10" s="62"/>
      <c r="K10" s="62"/>
      <c r="L10" s="62"/>
      <c r="M10" s="62"/>
      <c r="N10" s="142"/>
      <c r="O10" s="238" t="s">
        <v>2</v>
      </c>
      <c r="P10" s="332"/>
      <c r="Q10" s="333">
        <v>32</v>
      </c>
      <c r="R10" s="270"/>
      <c r="S10" s="334"/>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9</v>
      </c>
      <c r="H13" s="79">
        <v>0</v>
      </c>
      <c r="I13" s="66"/>
      <c r="J13" s="66"/>
      <c r="K13" s="66"/>
      <c r="L13" s="66"/>
      <c r="M13" s="74"/>
      <c r="N13" s="66"/>
      <c r="O13" s="68" t="s">
        <v>921</v>
      </c>
      <c r="P13" s="75" t="s">
        <v>922</v>
      </c>
      <c r="Q13" s="76"/>
      <c r="R13" s="77"/>
      <c r="S13" s="78">
        <v>4</v>
      </c>
      <c r="T13" s="79">
        <v>5</v>
      </c>
      <c r="U13" s="66"/>
    </row>
    <row r="14" spans="1:21" ht="15.75" customHeight="1" x14ac:dyDescent="0.25">
      <c r="A14" s="67"/>
      <c r="B14" s="66"/>
      <c r="C14" s="68" t="s">
        <v>923</v>
      </c>
      <c r="D14" s="75" t="s">
        <v>924</v>
      </c>
      <c r="E14" s="76"/>
      <c r="F14" s="77"/>
      <c r="G14" s="78">
        <v>9</v>
      </c>
      <c r="H14" s="79">
        <v>0</v>
      </c>
      <c r="I14" s="66"/>
      <c r="J14" s="66"/>
      <c r="K14" s="66"/>
      <c r="L14" s="66"/>
      <c r="M14" s="74"/>
      <c r="N14" s="66"/>
      <c r="O14" s="68" t="s">
        <v>925</v>
      </c>
      <c r="P14" s="75" t="s">
        <v>926</v>
      </c>
      <c r="Q14" s="76"/>
      <c r="R14" s="77"/>
      <c r="S14" s="78">
        <v>3</v>
      </c>
      <c r="T14" s="79">
        <v>6</v>
      </c>
      <c r="U14" s="66"/>
    </row>
    <row r="15" spans="1:21" ht="15.75" customHeight="1" x14ac:dyDescent="0.25">
      <c r="A15" s="67"/>
      <c r="B15" s="66"/>
      <c r="C15" s="68" t="s">
        <v>927</v>
      </c>
      <c r="D15" s="75" t="s">
        <v>928</v>
      </c>
      <c r="E15" s="76"/>
      <c r="F15" s="77"/>
      <c r="G15" s="78">
        <v>4</v>
      </c>
      <c r="H15" s="79">
        <v>5</v>
      </c>
      <c r="I15" s="66"/>
      <c r="J15" s="66"/>
      <c r="K15" s="66"/>
      <c r="L15" s="66"/>
      <c r="M15" s="74"/>
      <c r="N15" s="66"/>
      <c r="O15" s="68" t="s">
        <v>929</v>
      </c>
      <c r="P15" s="75" t="s">
        <v>930</v>
      </c>
      <c r="Q15" s="76"/>
      <c r="R15" s="77"/>
      <c r="S15" s="78">
        <v>1</v>
      </c>
      <c r="T15" s="79">
        <v>8</v>
      </c>
      <c r="U15" s="66"/>
    </row>
    <row r="16" spans="1:21" ht="15.75" customHeight="1" x14ac:dyDescent="0.25">
      <c r="A16" s="67"/>
      <c r="B16" s="66"/>
      <c r="C16" s="68" t="s">
        <v>931</v>
      </c>
      <c r="D16" s="75" t="s">
        <v>932</v>
      </c>
      <c r="E16" s="76"/>
      <c r="F16" s="77"/>
      <c r="G16" s="78">
        <v>4</v>
      </c>
      <c r="H16" s="79">
        <v>5</v>
      </c>
      <c r="I16" s="66"/>
      <c r="J16" s="66"/>
      <c r="K16" s="66"/>
      <c r="L16" s="66"/>
      <c r="M16" s="74"/>
      <c r="N16" s="66"/>
      <c r="O16" s="68" t="s">
        <v>933</v>
      </c>
      <c r="P16" s="75" t="s">
        <v>934</v>
      </c>
      <c r="Q16" s="76"/>
      <c r="R16" s="77"/>
      <c r="S16" s="78">
        <v>6</v>
      </c>
      <c r="T16" s="79">
        <v>3</v>
      </c>
      <c r="U16" s="66"/>
    </row>
    <row r="17" spans="1:21" ht="15.75" customHeight="1" x14ac:dyDescent="0.25">
      <c r="A17" s="67"/>
      <c r="B17" s="66"/>
      <c r="C17" s="80"/>
      <c r="D17" s="81" t="s">
        <v>935</v>
      </c>
      <c r="E17" s="82"/>
      <c r="F17" s="83"/>
      <c r="G17" s="72">
        <v>26</v>
      </c>
      <c r="H17" s="73">
        <v>10</v>
      </c>
      <c r="I17" s="66"/>
      <c r="J17" s="66"/>
      <c r="K17" s="66"/>
      <c r="L17" s="66"/>
      <c r="M17" s="74"/>
      <c r="N17" s="66"/>
      <c r="O17" s="80"/>
      <c r="P17" s="81" t="s">
        <v>935</v>
      </c>
      <c r="Q17" s="82"/>
      <c r="R17" s="83"/>
      <c r="S17" s="72">
        <v>14</v>
      </c>
      <c r="T17" s="73">
        <v>22</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1446</v>
      </c>
      <c r="E22" s="94" t="s">
        <v>267</v>
      </c>
      <c r="F22" s="92" t="s">
        <v>1444</v>
      </c>
      <c r="G22" s="92">
        <v>5</v>
      </c>
      <c r="H22" s="92" t="s">
        <v>29</v>
      </c>
      <c r="I22" s="115" t="s">
        <v>29</v>
      </c>
      <c r="J22" s="89"/>
      <c r="K22" s="89"/>
      <c r="L22" s="89"/>
      <c r="M22" s="96" t="s">
        <v>921</v>
      </c>
      <c r="N22" s="84"/>
      <c r="O22" s="92">
        <v>1</v>
      </c>
      <c r="P22" s="93" t="s">
        <v>1447</v>
      </c>
      <c r="Q22" s="94" t="s">
        <v>799</v>
      </c>
      <c r="R22" s="92" t="s">
        <v>1445</v>
      </c>
      <c r="S22" s="92" t="s">
        <v>29</v>
      </c>
      <c r="T22" s="92">
        <v>5</v>
      </c>
      <c r="U22" s="115" t="s">
        <v>29</v>
      </c>
    </row>
    <row r="23" spans="1:21" ht="15.75" customHeight="1" x14ac:dyDescent="0.25">
      <c r="A23" s="67" t="s">
        <v>919</v>
      </c>
      <c r="B23" s="84"/>
      <c r="C23" s="92">
        <v>2</v>
      </c>
      <c r="D23" s="93" t="s">
        <v>1448</v>
      </c>
      <c r="E23" s="97" t="s">
        <v>335</v>
      </c>
      <c r="F23" s="92" t="s">
        <v>1444</v>
      </c>
      <c r="G23" s="92">
        <v>3</v>
      </c>
      <c r="H23" s="92" t="s">
        <v>29</v>
      </c>
      <c r="I23" s="115" t="s">
        <v>29</v>
      </c>
      <c r="J23" s="89"/>
      <c r="K23" s="89"/>
      <c r="L23" s="89"/>
      <c r="M23" s="96" t="s">
        <v>921</v>
      </c>
      <c r="N23" s="84"/>
      <c r="O23" s="92">
        <v>2</v>
      </c>
      <c r="P23" s="93" t="s">
        <v>1449</v>
      </c>
      <c r="Q23" s="97" t="s">
        <v>347</v>
      </c>
      <c r="R23" s="92" t="s">
        <v>1444</v>
      </c>
      <c r="S23" s="92">
        <v>3</v>
      </c>
      <c r="T23" s="92" t="s">
        <v>29</v>
      </c>
      <c r="U23" s="115" t="s">
        <v>29</v>
      </c>
    </row>
    <row r="24" spans="1:21" ht="15.75" customHeight="1" x14ac:dyDescent="0.25">
      <c r="A24" s="67" t="s">
        <v>919</v>
      </c>
      <c r="B24" s="84"/>
      <c r="C24" s="92">
        <v>3</v>
      </c>
      <c r="D24" s="93" t="s">
        <v>1450</v>
      </c>
      <c r="E24" s="97" t="s">
        <v>334</v>
      </c>
      <c r="F24" s="92" t="s">
        <v>1444</v>
      </c>
      <c r="G24" s="92">
        <v>1</v>
      </c>
      <c r="H24" s="92" t="s">
        <v>29</v>
      </c>
      <c r="I24" s="115" t="s">
        <v>29</v>
      </c>
      <c r="J24" s="89"/>
      <c r="K24" s="89"/>
      <c r="L24" s="89"/>
      <c r="M24" s="96" t="s">
        <v>921</v>
      </c>
      <c r="N24" s="84"/>
      <c r="O24" s="92">
        <v>3</v>
      </c>
      <c r="P24" s="93" t="s">
        <v>1451</v>
      </c>
      <c r="Q24" s="97" t="s">
        <v>346</v>
      </c>
      <c r="R24" s="92" t="s">
        <v>1444</v>
      </c>
      <c r="S24" s="92">
        <v>1</v>
      </c>
      <c r="T24" s="92" t="s">
        <v>29</v>
      </c>
      <c r="U24" s="115" t="s">
        <v>29</v>
      </c>
    </row>
    <row r="25" spans="1:21" ht="15.75" customHeight="1" x14ac:dyDescent="0.25">
      <c r="A25" s="67" t="s">
        <v>919</v>
      </c>
      <c r="B25" s="84"/>
      <c r="C25" s="92">
        <v>4</v>
      </c>
      <c r="D25" s="93" t="s">
        <v>1452</v>
      </c>
      <c r="E25" s="97" t="s">
        <v>340</v>
      </c>
      <c r="F25" s="92" t="s">
        <v>1444</v>
      </c>
      <c r="G25" s="92" t="s">
        <v>29</v>
      </c>
      <c r="H25" s="92" t="s">
        <v>29</v>
      </c>
      <c r="I25" s="115" t="s">
        <v>29</v>
      </c>
      <c r="J25" s="89"/>
      <c r="K25" s="89"/>
      <c r="L25" s="89"/>
      <c r="M25" s="96" t="s">
        <v>921</v>
      </c>
      <c r="N25" s="84"/>
      <c r="O25" s="92">
        <v>4</v>
      </c>
      <c r="P25" s="93" t="s">
        <v>1453</v>
      </c>
      <c r="Q25" s="97" t="s">
        <v>345</v>
      </c>
      <c r="R25" s="92" t="s">
        <v>1444</v>
      </c>
      <c r="S25" s="92" t="s">
        <v>29</v>
      </c>
      <c r="T25" s="92" t="s">
        <v>29</v>
      </c>
      <c r="U25" s="115" t="s">
        <v>29</v>
      </c>
    </row>
    <row r="26" spans="1:21" ht="15.75" customHeight="1" x14ac:dyDescent="0.25">
      <c r="A26" s="67" t="s">
        <v>919</v>
      </c>
      <c r="B26" s="84"/>
      <c r="C26" s="92">
        <v>5</v>
      </c>
      <c r="D26" s="93" t="s">
        <v>1454</v>
      </c>
      <c r="E26" s="97" t="s">
        <v>798</v>
      </c>
      <c r="F26" s="92" t="s">
        <v>1445</v>
      </c>
      <c r="G26" s="92" t="s">
        <v>29</v>
      </c>
      <c r="H26" s="92" t="s">
        <v>29</v>
      </c>
      <c r="I26" s="115" t="s">
        <v>29</v>
      </c>
      <c r="J26" s="89"/>
      <c r="K26" s="89"/>
      <c r="L26" s="89"/>
      <c r="M26" s="96" t="s">
        <v>29</v>
      </c>
      <c r="N26" s="84"/>
      <c r="O26" s="92" t="s">
        <v>29</v>
      </c>
      <c r="P26" s="93" t="s">
        <v>29</v>
      </c>
      <c r="Q26" s="97" t="s">
        <v>29</v>
      </c>
      <c r="R26" s="92" t="s">
        <v>29</v>
      </c>
      <c r="S26" s="92" t="s">
        <v>29</v>
      </c>
      <c r="T26" s="92" t="s">
        <v>29</v>
      </c>
      <c r="U26" s="115" t="s">
        <v>29</v>
      </c>
    </row>
    <row r="27" spans="1:21" ht="15.75" customHeight="1" x14ac:dyDescent="0.25">
      <c r="A27" s="67" t="s">
        <v>919</v>
      </c>
      <c r="B27" s="84"/>
      <c r="C27" s="92">
        <v>6</v>
      </c>
      <c r="D27" s="93" t="s">
        <v>1455</v>
      </c>
      <c r="E27" s="97" t="s">
        <v>336</v>
      </c>
      <c r="F27" s="92" t="s">
        <v>1444</v>
      </c>
      <c r="G27" s="92" t="s">
        <v>29</v>
      </c>
      <c r="H27" s="92" t="s">
        <v>29</v>
      </c>
      <c r="I27" s="115" t="s">
        <v>29</v>
      </c>
      <c r="J27" s="89"/>
      <c r="K27" s="89"/>
      <c r="L27" s="89"/>
      <c r="M27" s="96" t="s">
        <v>29</v>
      </c>
      <c r="N27" s="84"/>
      <c r="O27" s="92" t="s">
        <v>29</v>
      </c>
      <c r="P27" s="93" t="s">
        <v>29</v>
      </c>
      <c r="Q27" s="97" t="s">
        <v>29</v>
      </c>
      <c r="R27" s="92" t="s">
        <v>29</v>
      </c>
      <c r="S27" s="92" t="s">
        <v>29</v>
      </c>
      <c r="T27" s="92" t="s">
        <v>29</v>
      </c>
      <c r="U27" s="115" t="s">
        <v>29</v>
      </c>
    </row>
    <row r="28" spans="1:21" ht="15.75" customHeight="1" x14ac:dyDescent="0.25">
      <c r="A28" s="67" t="s">
        <v>919</v>
      </c>
      <c r="B28" s="84"/>
      <c r="C28" s="92">
        <v>7</v>
      </c>
      <c r="D28" s="93" t="s">
        <v>1456</v>
      </c>
      <c r="E28" s="97" t="s">
        <v>341</v>
      </c>
      <c r="F28" s="92" t="s">
        <v>1444</v>
      </c>
      <c r="G28" s="92" t="s">
        <v>29</v>
      </c>
      <c r="H28" s="92" t="s">
        <v>29</v>
      </c>
      <c r="I28" s="115" t="s">
        <v>29</v>
      </c>
      <c r="J28" s="89"/>
      <c r="K28" s="89"/>
      <c r="L28" s="89"/>
      <c r="M28" s="96" t="s">
        <v>29</v>
      </c>
      <c r="N28" s="84"/>
      <c r="O28" s="92" t="s">
        <v>29</v>
      </c>
      <c r="P28" s="93" t="s">
        <v>29</v>
      </c>
      <c r="Q28" s="97" t="s">
        <v>29</v>
      </c>
      <c r="R28" s="92" t="s">
        <v>29</v>
      </c>
      <c r="S28" s="92" t="s">
        <v>29</v>
      </c>
      <c r="T28" s="92" t="s">
        <v>29</v>
      </c>
      <c r="U28" s="115" t="s">
        <v>29</v>
      </c>
    </row>
    <row r="29" spans="1:21" ht="15.75" customHeight="1" x14ac:dyDescent="0.25">
      <c r="A29" s="67" t="s">
        <v>919</v>
      </c>
      <c r="B29" s="84"/>
      <c r="C29" s="92">
        <v>8</v>
      </c>
      <c r="D29" s="98" t="s">
        <v>1457</v>
      </c>
      <c r="E29" s="97" t="s">
        <v>338</v>
      </c>
      <c r="F29" s="92" t="s">
        <v>1444</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919</v>
      </c>
      <c r="B30" s="84"/>
      <c r="C30" s="92">
        <v>9</v>
      </c>
      <c r="D30" s="98" t="s">
        <v>1458</v>
      </c>
      <c r="E30" s="97" t="s">
        <v>407</v>
      </c>
      <c r="F30" s="92" t="s">
        <v>1445</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919</v>
      </c>
      <c r="B31" s="84"/>
      <c r="C31" s="92">
        <v>10</v>
      </c>
      <c r="D31" s="98" t="s">
        <v>1459</v>
      </c>
      <c r="E31" s="97" t="s">
        <v>343</v>
      </c>
      <c r="F31" s="92" t="s">
        <v>1444</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919</v>
      </c>
      <c r="B32" s="84"/>
      <c r="C32" s="92">
        <v>11</v>
      </c>
      <c r="D32" s="98" t="s">
        <v>1460</v>
      </c>
      <c r="E32" s="97" t="s">
        <v>339</v>
      </c>
      <c r="F32" s="92" t="s">
        <v>1444</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919</v>
      </c>
      <c r="B33" s="84"/>
      <c r="C33" s="92">
        <v>12</v>
      </c>
      <c r="D33" s="98" t="s">
        <v>1461</v>
      </c>
      <c r="E33" s="97" t="s">
        <v>342</v>
      </c>
      <c r="F33" s="92" t="s">
        <v>1444</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919</v>
      </c>
      <c r="B34" s="84"/>
      <c r="C34" s="92">
        <v>13</v>
      </c>
      <c r="D34" s="98" t="s">
        <v>1462</v>
      </c>
      <c r="E34" s="97" t="s">
        <v>337</v>
      </c>
      <c r="F34" s="92" t="s">
        <v>1444</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919</v>
      </c>
      <c r="B35" s="84"/>
      <c r="C35" s="92">
        <v>14</v>
      </c>
      <c r="D35" s="98" t="s">
        <v>1463</v>
      </c>
      <c r="E35" s="97" t="s">
        <v>344</v>
      </c>
      <c r="F35" s="92" t="s">
        <v>1444</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76"/>
      <c r="E47" s="276"/>
      <c r="F47" s="276"/>
      <c r="G47" s="99">
        <v>9</v>
      </c>
      <c r="H47" s="99">
        <v>0</v>
      </c>
      <c r="I47" s="115" t="s">
        <v>29</v>
      </c>
      <c r="J47" s="89"/>
      <c r="K47" s="89"/>
      <c r="L47" s="89"/>
      <c r="M47" s="96" t="s">
        <v>29</v>
      </c>
      <c r="N47" s="84"/>
      <c r="O47" s="219" t="s">
        <v>955</v>
      </c>
      <c r="P47" s="276"/>
      <c r="Q47" s="276"/>
      <c r="R47" s="276"/>
      <c r="S47" s="99">
        <v>4</v>
      </c>
      <c r="T47" s="99">
        <v>5</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08"/>
      <c r="C51" s="92">
        <v>1</v>
      </c>
      <c r="D51" s="93" t="s">
        <v>1464</v>
      </c>
      <c r="E51" s="94" t="s">
        <v>351</v>
      </c>
      <c r="F51" s="92" t="s">
        <v>1444</v>
      </c>
      <c r="G51" s="92">
        <v>5</v>
      </c>
      <c r="H51" s="92" t="s">
        <v>29</v>
      </c>
      <c r="I51" s="116" t="s">
        <v>29</v>
      </c>
      <c r="J51" s="89"/>
      <c r="K51" s="89"/>
      <c r="L51" s="89"/>
      <c r="M51" s="96" t="s">
        <v>925</v>
      </c>
      <c r="N51" s="108"/>
      <c r="O51" s="92">
        <v>1</v>
      </c>
      <c r="P51" s="93" t="s">
        <v>1465</v>
      </c>
      <c r="Q51" s="94" t="s">
        <v>236</v>
      </c>
      <c r="R51" s="92" t="s">
        <v>1445</v>
      </c>
      <c r="S51" s="92" t="s">
        <v>29</v>
      </c>
      <c r="T51" s="92">
        <v>5</v>
      </c>
      <c r="U51" s="116" t="s">
        <v>29</v>
      </c>
    </row>
    <row r="52" spans="1:21" ht="13.2" x14ac:dyDescent="0.25">
      <c r="A52" s="67" t="s">
        <v>923</v>
      </c>
      <c r="B52" s="108"/>
      <c r="C52" s="92">
        <v>2</v>
      </c>
      <c r="D52" s="93" t="s">
        <v>1466</v>
      </c>
      <c r="E52" s="97" t="s">
        <v>352</v>
      </c>
      <c r="F52" s="92" t="s">
        <v>1444</v>
      </c>
      <c r="G52" s="92">
        <v>3</v>
      </c>
      <c r="H52" s="92" t="s">
        <v>29</v>
      </c>
      <c r="I52" s="116" t="s">
        <v>29</v>
      </c>
      <c r="J52" s="89"/>
      <c r="K52" s="89"/>
      <c r="L52" s="89"/>
      <c r="M52" s="96" t="s">
        <v>925</v>
      </c>
      <c r="N52" s="108"/>
      <c r="O52" s="92">
        <v>2</v>
      </c>
      <c r="P52" s="93" t="s">
        <v>1467</v>
      </c>
      <c r="Q52" s="97" t="s">
        <v>358</v>
      </c>
      <c r="R52" s="92" t="s">
        <v>1444</v>
      </c>
      <c r="S52" s="92">
        <v>3</v>
      </c>
      <c r="T52" s="92" t="s">
        <v>29</v>
      </c>
      <c r="U52" s="116" t="s">
        <v>29</v>
      </c>
    </row>
    <row r="53" spans="1:21" ht="13.2" x14ac:dyDescent="0.25">
      <c r="A53" s="67" t="s">
        <v>923</v>
      </c>
      <c r="B53" s="108"/>
      <c r="C53" s="92">
        <v>3</v>
      </c>
      <c r="D53" s="93" t="s">
        <v>1468</v>
      </c>
      <c r="E53" s="97" t="s">
        <v>353</v>
      </c>
      <c r="F53" s="92" t="s">
        <v>1444</v>
      </c>
      <c r="G53" s="92">
        <v>1</v>
      </c>
      <c r="H53" s="92" t="s">
        <v>29</v>
      </c>
      <c r="I53" s="116" t="s">
        <v>29</v>
      </c>
      <c r="J53" s="89"/>
      <c r="K53" s="89"/>
      <c r="L53" s="89"/>
      <c r="M53" s="96" t="s">
        <v>925</v>
      </c>
      <c r="N53" s="108"/>
      <c r="O53" s="92">
        <v>3</v>
      </c>
      <c r="P53" s="93" t="s">
        <v>1469</v>
      </c>
      <c r="Q53" s="97" t="s">
        <v>802</v>
      </c>
      <c r="R53" s="92" t="s">
        <v>1445</v>
      </c>
      <c r="S53" s="92" t="s">
        <v>29</v>
      </c>
      <c r="T53" s="92">
        <v>1</v>
      </c>
      <c r="U53" s="116" t="s">
        <v>29</v>
      </c>
    </row>
    <row r="54" spans="1:21" ht="13.2" x14ac:dyDescent="0.25">
      <c r="A54" s="67" t="s">
        <v>29</v>
      </c>
      <c r="B54" s="108"/>
      <c r="C54" s="92" t="s">
        <v>29</v>
      </c>
      <c r="D54" s="93" t="s">
        <v>29</v>
      </c>
      <c r="E54" s="97" t="s">
        <v>29</v>
      </c>
      <c r="F54" s="92" t="s">
        <v>29</v>
      </c>
      <c r="G54" s="92" t="s">
        <v>29</v>
      </c>
      <c r="H54" s="92" t="s">
        <v>29</v>
      </c>
      <c r="I54" s="116" t="s">
        <v>29</v>
      </c>
      <c r="J54" s="89"/>
      <c r="K54" s="89"/>
      <c r="L54" s="89"/>
      <c r="M54" s="96" t="s">
        <v>925</v>
      </c>
      <c r="N54" s="108"/>
      <c r="O54" s="92">
        <v>4</v>
      </c>
      <c r="P54" s="93" t="s">
        <v>1470</v>
      </c>
      <c r="Q54" s="97" t="s">
        <v>354</v>
      </c>
      <c r="R54" s="92" t="s">
        <v>1444</v>
      </c>
      <c r="S54" s="92" t="s">
        <v>29</v>
      </c>
      <c r="T54" s="92" t="s">
        <v>29</v>
      </c>
      <c r="U54" s="116" t="s">
        <v>29</v>
      </c>
    </row>
    <row r="55" spans="1:21" ht="13.2" x14ac:dyDescent="0.25">
      <c r="A55" s="67" t="s">
        <v>29</v>
      </c>
      <c r="B55" s="108"/>
      <c r="C55" s="92" t="s">
        <v>29</v>
      </c>
      <c r="D55" s="93" t="s">
        <v>29</v>
      </c>
      <c r="E55" s="97" t="s">
        <v>29</v>
      </c>
      <c r="F55" s="92" t="s">
        <v>29</v>
      </c>
      <c r="G55" s="92" t="s">
        <v>29</v>
      </c>
      <c r="H55" s="92" t="s">
        <v>29</v>
      </c>
      <c r="I55" s="116" t="s">
        <v>29</v>
      </c>
      <c r="J55" s="89"/>
      <c r="K55" s="89"/>
      <c r="L55" s="89"/>
      <c r="M55" s="96" t="s">
        <v>925</v>
      </c>
      <c r="N55" s="108"/>
      <c r="O55" s="92">
        <v>5</v>
      </c>
      <c r="P55" s="93" t="s">
        <v>1471</v>
      </c>
      <c r="Q55" s="97" t="s">
        <v>355</v>
      </c>
      <c r="R55" s="92" t="s">
        <v>1444</v>
      </c>
      <c r="S55" s="92" t="s">
        <v>29</v>
      </c>
      <c r="T55" s="92" t="s">
        <v>29</v>
      </c>
      <c r="U55" s="116" t="s">
        <v>29</v>
      </c>
    </row>
    <row r="56" spans="1:21" ht="13.2" x14ac:dyDescent="0.25">
      <c r="A56" s="67" t="s">
        <v>29</v>
      </c>
      <c r="B56" s="108"/>
      <c r="C56" s="92" t="s">
        <v>29</v>
      </c>
      <c r="D56" s="93" t="s">
        <v>29</v>
      </c>
      <c r="E56" s="97" t="s">
        <v>29</v>
      </c>
      <c r="F56" s="92" t="s">
        <v>29</v>
      </c>
      <c r="G56" s="92" t="s">
        <v>29</v>
      </c>
      <c r="H56" s="92" t="s">
        <v>29</v>
      </c>
      <c r="I56" s="116" t="s">
        <v>29</v>
      </c>
      <c r="J56" s="89"/>
      <c r="K56" s="89"/>
      <c r="L56" s="89"/>
      <c r="M56" s="96" t="s">
        <v>925</v>
      </c>
      <c r="N56" s="108"/>
      <c r="O56" s="92">
        <v>6</v>
      </c>
      <c r="P56" s="93" t="s">
        <v>1472</v>
      </c>
      <c r="Q56" s="97" t="s">
        <v>356</v>
      </c>
      <c r="R56" s="92" t="s">
        <v>1444</v>
      </c>
      <c r="S56" s="92" t="s">
        <v>29</v>
      </c>
      <c r="T56" s="92" t="s">
        <v>29</v>
      </c>
      <c r="U56" s="116" t="s">
        <v>29</v>
      </c>
    </row>
    <row r="57" spans="1:21" ht="13.2" x14ac:dyDescent="0.25">
      <c r="A57" s="67" t="s">
        <v>29</v>
      </c>
      <c r="B57" s="108"/>
      <c r="C57" s="92" t="s">
        <v>29</v>
      </c>
      <c r="D57" s="93" t="s">
        <v>29</v>
      </c>
      <c r="E57" s="97" t="s">
        <v>29</v>
      </c>
      <c r="F57" s="92" t="s">
        <v>29</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29</v>
      </c>
      <c r="B58" s="108"/>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08"/>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76"/>
      <c r="E66" s="276"/>
      <c r="F66" s="296"/>
      <c r="G66" s="99">
        <v>9</v>
      </c>
      <c r="H66" s="99">
        <v>0</v>
      </c>
      <c r="I66" s="116" t="s">
        <v>29</v>
      </c>
      <c r="J66" s="89"/>
      <c r="K66" s="89"/>
      <c r="L66" s="89"/>
      <c r="M66" s="96" t="s">
        <v>29</v>
      </c>
      <c r="N66" s="108"/>
      <c r="O66" s="219" t="s">
        <v>972</v>
      </c>
      <c r="P66" s="276"/>
      <c r="Q66" s="276"/>
      <c r="R66" s="296"/>
      <c r="S66" s="99">
        <v>3</v>
      </c>
      <c r="T66" s="99">
        <v>6</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1473</v>
      </c>
      <c r="E70" s="94" t="s">
        <v>81</v>
      </c>
      <c r="F70" s="92" t="s">
        <v>1445</v>
      </c>
      <c r="G70" s="92" t="s">
        <v>29</v>
      </c>
      <c r="H70" s="92">
        <v>5</v>
      </c>
      <c r="I70" s="115" t="s">
        <v>29</v>
      </c>
      <c r="J70" s="89"/>
      <c r="K70" s="89"/>
      <c r="L70" s="89"/>
      <c r="M70" s="96" t="s">
        <v>929</v>
      </c>
      <c r="N70" s="84"/>
      <c r="O70" s="92">
        <v>1</v>
      </c>
      <c r="P70" s="93" t="s">
        <v>1474</v>
      </c>
      <c r="Q70" s="94" t="s">
        <v>800</v>
      </c>
      <c r="R70" s="92" t="s">
        <v>1445</v>
      </c>
      <c r="S70" s="92" t="s">
        <v>29</v>
      </c>
      <c r="T70" s="92">
        <v>5</v>
      </c>
      <c r="U70" s="115" t="s">
        <v>29</v>
      </c>
    </row>
    <row r="71" spans="1:21" ht="13.2" x14ac:dyDescent="0.25">
      <c r="A71" s="67" t="s">
        <v>927</v>
      </c>
      <c r="B71" s="84"/>
      <c r="C71" s="92">
        <v>2</v>
      </c>
      <c r="D71" s="93" t="s">
        <v>1475</v>
      </c>
      <c r="E71" s="97" t="s">
        <v>350</v>
      </c>
      <c r="F71" s="92" t="s">
        <v>1444</v>
      </c>
      <c r="G71" s="92">
        <v>3</v>
      </c>
      <c r="H71" s="92" t="s">
        <v>29</v>
      </c>
      <c r="I71" s="115" t="s">
        <v>29</v>
      </c>
      <c r="J71" s="89"/>
      <c r="K71" s="89"/>
      <c r="L71" s="89"/>
      <c r="M71" s="96" t="s">
        <v>929</v>
      </c>
      <c r="N71" s="84"/>
      <c r="O71" s="92">
        <v>2</v>
      </c>
      <c r="P71" s="93" t="s">
        <v>1476</v>
      </c>
      <c r="Q71" s="97" t="s">
        <v>801</v>
      </c>
      <c r="R71" s="92" t="s">
        <v>1445</v>
      </c>
      <c r="S71" s="92" t="s">
        <v>29</v>
      </c>
      <c r="T71" s="92">
        <v>3</v>
      </c>
      <c r="U71" s="115" t="s">
        <v>29</v>
      </c>
    </row>
    <row r="72" spans="1:21" ht="13.2" x14ac:dyDescent="0.25">
      <c r="A72" s="67" t="s">
        <v>927</v>
      </c>
      <c r="B72" s="84"/>
      <c r="C72" s="92">
        <v>3</v>
      </c>
      <c r="D72" s="93" t="s">
        <v>1477</v>
      </c>
      <c r="E72" s="97" t="s">
        <v>349</v>
      </c>
      <c r="F72" s="92" t="s">
        <v>1444</v>
      </c>
      <c r="G72" s="92">
        <v>1</v>
      </c>
      <c r="H72" s="92" t="s">
        <v>29</v>
      </c>
      <c r="I72" s="115" t="s">
        <v>29</v>
      </c>
      <c r="J72" s="89"/>
      <c r="K72" s="89"/>
      <c r="L72" s="89"/>
      <c r="M72" s="96" t="s">
        <v>929</v>
      </c>
      <c r="N72" s="84"/>
      <c r="O72" s="92">
        <v>3</v>
      </c>
      <c r="P72" s="93" t="s">
        <v>1478</v>
      </c>
      <c r="Q72" s="97" t="s">
        <v>357</v>
      </c>
      <c r="R72" s="92" t="s">
        <v>1444</v>
      </c>
      <c r="S72" s="92">
        <v>1</v>
      </c>
      <c r="T72" s="92" t="s">
        <v>29</v>
      </c>
      <c r="U72" s="115" t="s">
        <v>64</v>
      </c>
    </row>
    <row r="73" spans="1:21" ht="13.2" x14ac:dyDescent="0.25">
      <c r="A73" s="67" t="s">
        <v>927</v>
      </c>
      <c r="B73" s="84"/>
      <c r="C73" s="92">
        <v>4</v>
      </c>
      <c r="D73" s="93" t="s">
        <v>1479</v>
      </c>
      <c r="E73" s="97" t="s">
        <v>348</v>
      </c>
      <c r="F73" s="92" t="s">
        <v>1444</v>
      </c>
      <c r="G73" s="92" t="s">
        <v>29</v>
      </c>
      <c r="H73" s="92" t="s">
        <v>29</v>
      </c>
      <c r="I73" s="115" t="s">
        <v>29</v>
      </c>
      <c r="J73" s="89"/>
      <c r="K73" s="89"/>
      <c r="L73" s="89"/>
      <c r="M73" s="96" t="s">
        <v>29</v>
      </c>
      <c r="N73" s="84"/>
      <c r="O73" s="92" t="s">
        <v>29</v>
      </c>
      <c r="P73" s="93" t="s">
        <v>29</v>
      </c>
      <c r="Q73" s="97" t="s">
        <v>29</v>
      </c>
      <c r="R73" s="92" t="s">
        <v>29</v>
      </c>
      <c r="S73" s="92" t="s">
        <v>29</v>
      </c>
      <c r="T73" s="92" t="s">
        <v>29</v>
      </c>
      <c r="U73" s="115" t="s">
        <v>29</v>
      </c>
    </row>
    <row r="74" spans="1:21" ht="13.2" x14ac:dyDescent="0.25">
      <c r="A74" s="67" t="s">
        <v>29</v>
      </c>
      <c r="B74" s="84"/>
      <c r="C74" s="92" t="s">
        <v>29</v>
      </c>
      <c r="D74" s="93" t="s">
        <v>29</v>
      </c>
      <c r="E74" s="97" t="s">
        <v>29</v>
      </c>
      <c r="F74" s="92" t="s">
        <v>29</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84"/>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76"/>
      <c r="E85" s="276"/>
      <c r="F85" s="276"/>
      <c r="G85" s="99">
        <v>4</v>
      </c>
      <c r="H85" s="99">
        <v>5</v>
      </c>
      <c r="I85" s="115" t="s">
        <v>29</v>
      </c>
      <c r="J85" s="89"/>
      <c r="K85" s="89"/>
      <c r="L85" s="89"/>
      <c r="M85" s="96" t="s">
        <v>29</v>
      </c>
      <c r="N85" s="84"/>
      <c r="O85" s="219" t="s">
        <v>985</v>
      </c>
      <c r="P85" s="276"/>
      <c r="Q85" s="276"/>
      <c r="R85" s="276"/>
      <c r="S85" s="99">
        <v>1</v>
      </c>
      <c r="T85" s="99">
        <v>8</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1480</v>
      </c>
      <c r="E89" s="94" t="s">
        <v>803</v>
      </c>
      <c r="F89" s="92" t="s">
        <v>1445</v>
      </c>
      <c r="G89" s="92" t="s">
        <v>29</v>
      </c>
      <c r="H89" s="92">
        <v>5</v>
      </c>
      <c r="I89" s="116" t="s">
        <v>29</v>
      </c>
      <c r="J89" s="89"/>
      <c r="K89" s="89"/>
      <c r="L89" s="89"/>
      <c r="M89" s="96" t="s">
        <v>933</v>
      </c>
      <c r="N89" s="108"/>
      <c r="O89" s="92">
        <v>1</v>
      </c>
      <c r="P89" s="93" t="s">
        <v>1481</v>
      </c>
      <c r="Q89" s="94" t="s">
        <v>362</v>
      </c>
      <c r="R89" s="92" t="s">
        <v>1444</v>
      </c>
      <c r="S89" s="92">
        <v>5</v>
      </c>
      <c r="T89" s="92" t="s">
        <v>29</v>
      </c>
      <c r="U89" s="116" t="s">
        <v>29</v>
      </c>
    </row>
    <row r="90" spans="1:21" ht="13.2" x14ac:dyDescent="0.25">
      <c r="A90" s="67" t="s">
        <v>931</v>
      </c>
      <c r="B90" s="108"/>
      <c r="C90" s="92">
        <v>2</v>
      </c>
      <c r="D90" s="93" t="s">
        <v>1482</v>
      </c>
      <c r="E90" s="97" t="s">
        <v>359</v>
      </c>
      <c r="F90" s="92" t="s">
        <v>1444</v>
      </c>
      <c r="G90" s="92">
        <v>3</v>
      </c>
      <c r="H90" s="92" t="s">
        <v>29</v>
      </c>
      <c r="I90" s="116" t="s">
        <v>29</v>
      </c>
      <c r="J90" s="89"/>
      <c r="K90" s="89"/>
      <c r="L90" s="89"/>
      <c r="M90" s="96" t="s">
        <v>933</v>
      </c>
      <c r="N90" s="108"/>
      <c r="O90" s="92">
        <v>2</v>
      </c>
      <c r="P90" s="93" t="s">
        <v>1483</v>
      </c>
      <c r="Q90" s="97" t="s">
        <v>804</v>
      </c>
      <c r="R90" s="92" t="s">
        <v>1445</v>
      </c>
      <c r="S90" s="92" t="s">
        <v>29</v>
      </c>
      <c r="T90" s="92">
        <v>3</v>
      </c>
      <c r="U90" s="116" t="s">
        <v>29</v>
      </c>
    </row>
    <row r="91" spans="1:21" ht="26.4" x14ac:dyDescent="0.25">
      <c r="A91" s="67" t="s">
        <v>931</v>
      </c>
      <c r="B91" s="108"/>
      <c r="C91" s="92">
        <v>3</v>
      </c>
      <c r="D91" s="93" t="s">
        <v>1484</v>
      </c>
      <c r="E91" s="97" t="s">
        <v>360</v>
      </c>
      <c r="F91" s="92" t="s">
        <v>1444</v>
      </c>
      <c r="G91" s="92">
        <v>1</v>
      </c>
      <c r="H91" s="92" t="s">
        <v>29</v>
      </c>
      <c r="I91" s="116" t="s">
        <v>29</v>
      </c>
      <c r="J91" s="89"/>
      <c r="K91" s="89"/>
      <c r="L91" s="89"/>
      <c r="M91" s="96" t="s">
        <v>933</v>
      </c>
      <c r="N91" s="108"/>
      <c r="O91" s="92">
        <v>3</v>
      </c>
      <c r="P91" s="93" t="s">
        <v>1485</v>
      </c>
      <c r="Q91" s="97" t="s">
        <v>363</v>
      </c>
      <c r="R91" s="92" t="s">
        <v>1444</v>
      </c>
      <c r="S91" s="92">
        <v>1</v>
      </c>
      <c r="T91" s="92" t="s">
        <v>29</v>
      </c>
      <c r="U91" s="116" t="s">
        <v>29</v>
      </c>
    </row>
    <row r="92" spans="1:21" ht="13.2" x14ac:dyDescent="0.25">
      <c r="A92" s="67" t="s">
        <v>29</v>
      </c>
      <c r="B92" s="108"/>
      <c r="C92" s="92" t="s">
        <v>29</v>
      </c>
      <c r="D92" s="93" t="s">
        <v>29</v>
      </c>
      <c r="E92" s="97" t="s">
        <v>29</v>
      </c>
      <c r="F92" s="92" t="s">
        <v>29</v>
      </c>
      <c r="G92" s="92" t="s">
        <v>29</v>
      </c>
      <c r="H92" s="92" t="s">
        <v>29</v>
      </c>
      <c r="I92" s="116" t="s">
        <v>29</v>
      </c>
      <c r="J92" s="89"/>
      <c r="K92" s="89"/>
      <c r="L92" s="89"/>
      <c r="M92" s="96" t="s">
        <v>933</v>
      </c>
      <c r="N92" s="108"/>
      <c r="O92" s="92">
        <v>4</v>
      </c>
      <c r="P92" s="93" t="s">
        <v>1486</v>
      </c>
      <c r="Q92" s="97" t="s">
        <v>364</v>
      </c>
      <c r="R92" s="92" t="s">
        <v>1444</v>
      </c>
      <c r="S92" s="92" t="s">
        <v>29</v>
      </c>
      <c r="T92" s="92" t="s">
        <v>29</v>
      </c>
      <c r="U92" s="116" t="s">
        <v>29</v>
      </c>
    </row>
    <row r="93" spans="1:21" ht="13.2" x14ac:dyDescent="0.25">
      <c r="A93" s="67" t="s">
        <v>29</v>
      </c>
      <c r="B93" s="108"/>
      <c r="C93" s="92" t="s">
        <v>29</v>
      </c>
      <c r="D93" s="93" t="s">
        <v>29</v>
      </c>
      <c r="E93" s="97" t="s">
        <v>29</v>
      </c>
      <c r="F93" s="92" t="s">
        <v>29</v>
      </c>
      <c r="G93" s="92" t="s">
        <v>29</v>
      </c>
      <c r="H93" s="92" t="s">
        <v>29</v>
      </c>
      <c r="I93" s="116" t="s">
        <v>29</v>
      </c>
      <c r="J93" s="89"/>
      <c r="K93" s="89"/>
      <c r="L93" s="89"/>
      <c r="M93" s="96" t="s">
        <v>933</v>
      </c>
      <c r="N93" s="108"/>
      <c r="O93" s="92">
        <v>5</v>
      </c>
      <c r="P93" s="93" t="s">
        <v>1487</v>
      </c>
      <c r="Q93" s="97" t="s">
        <v>361</v>
      </c>
      <c r="R93" s="92" t="s">
        <v>1444</v>
      </c>
      <c r="S93" s="92" t="s">
        <v>29</v>
      </c>
      <c r="T93" s="92" t="s">
        <v>29</v>
      </c>
      <c r="U93" s="116" t="s">
        <v>29</v>
      </c>
    </row>
    <row r="94" spans="1:21" ht="13.2" x14ac:dyDescent="0.25">
      <c r="A94" s="67" t="s">
        <v>29</v>
      </c>
      <c r="B94" s="108"/>
      <c r="C94" s="92" t="s">
        <v>29</v>
      </c>
      <c r="D94" s="93" t="s">
        <v>29</v>
      </c>
      <c r="E94" s="97" t="s">
        <v>29</v>
      </c>
      <c r="F94" s="92" t="s">
        <v>29</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29</v>
      </c>
      <c r="B95" s="108"/>
      <c r="C95" s="92" t="s">
        <v>29</v>
      </c>
      <c r="D95" s="93" t="s">
        <v>29</v>
      </c>
      <c r="E95" s="97" t="s">
        <v>29</v>
      </c>
      <c r="F95" s="92" t="s">
        <v>29</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29</v>
      </c>
      <c r="B96" s="108"/>
      <c r="C96" s="92" t="s">
        <v>29</v>
      </c>
      <c r="D96" s="93" t="s">
        <v>29</v>
      </c>
      <c r="E96" s="97" t="s">
        <v>29</v>
      </c>
      <c r="F96" s="92" t="s">
        <v>29</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29</v>
      </c>
      <c r="B97" s="108"/>
      <c r="C97" s="92" t="s">
        <v>29</v>
      </c>
      <c r="D97" s="93" t="s">
        <v>29</v>
      </c>
      <c r="E97" s="97" t="s">
        <v>29</v>
      </c>
      <c r="F97" s="92" t="s">
        <v>29</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08"/>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76"/>
      <c r="E104" s="276"/>
      <c r="F104" s="276"/>
      <c r="G104" s="99">
        <v>4</v>
      </c>
      <c r="H104" s="99">
        <v>5</v>
      </c>
      <c r="I104" s="116" t="s">
        <v>29</v>
      </c>
      <c r="J104" s="89"/>
      <c r="K104" s="89"/>
      <c r="L104" s="89"/>
      <c r="M104" s="96" t="s">
        <v>29</v>
      </c>
      <c r="N104" s="108"/>
      <c r="O104" s="219" t="s">
        <v>996</v>
      </c>
      <c r="P104" s="276"/>
      <c r="Q104" s="276"/>
      <c r="R104" s="276"/>
      <c r="S104" s="99">
        <v>6</v>
      </c>
      <c r="T104" s="99">
        <v>3</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1488</v>
      </c>
      <c r="R106" s="277"/>
      <c r="S106" s="277"/>
      <c r="T106" s="278"/>
      <c r="U106" s="66" t="s">
        <v>29</v>
      </c>
    </row>
    <row r="107" spans="1:21" ht="13.2" x14ac:dyDescent="0.25">
      <c r="A107" s="67"/>
      <c r="B107" s="66"/>
      <c r="C107" s="245" t="s">
        <v>1489</v>
      </c>
      <c r="D107" s="308"/>
      <c r="E107" s="308"/>
      <c r="F107" s="308"/>
      <c r="G107" s="308"/>
      <c r="H107" s="309"/>
      <c r="I107" s="89" t="s">
        <v>29</v>
      </c>
      <c r="J107" s="89"/>
      <c r="K107" s="89"/>
      <c r="L107" s="89"/>
      <c r="M107" s="96"/>
      <c r="N107" s="119"/>
      <c r="O107" s="120" t="s">
        <v>1001</v>
      </c>
      <c r="P107" s="121"/>
      <c r="Q107" s="221" t="s">
        <v>1490</v>
      </c>
      <c r="R107" s="277"/>
      <c r="S107" s="277"/>
      <c r="T107" s="278"/>
      <c r="U107" s="66" t="s">
        <v>29</v>
      </c>
    </row>
    <row r="108" spans="1:21" ht="13.2" x14ac:dyDescent="0.25">
      <c r="A108" s="67"/>
      <c r="B108" s="66"/>
      <c r="C108" s="310"/>
      <c r="D108" s="311"/>
      <c r="E108" s="311"/>
      <c r="F108" s="311"/>
      <c r="G108" s="311"/>
      <c r="H108" s="312"/>
      <c r="I108" s="89" t="s">
        <v>29</v>
      </c>
      <c r="J108" s="89"/>
      <c r="K108" s="89"/>
      <c r="L108" s="89"/>
      <c r="M108" s="96"/>
      <c r="N108" s="119"/>
      <c r="O108" s="120"/>
      <c r="P108" s="121"/>
      <c r="Q108" s="279"/>
      <c r="R108" s="279"/>
      <c r="S108" s="279"/>
      <c r="T108" s="279"/>
      <c r="U108" s="66" t="s">
        <v>29</v>
      </c>
    </row>
    <row r="109" spans="1:21" ht="13.2" x14ac:dyDescent="0.25">
      <c r="A109" s="67"/>
      <c r="B109" s="66"/>
      <c r="C109" s="118" t="s">
        <v>1003</v>
      </c>
      <c r="D109" s="122"/>
      <c r="E109" s="225" t="s">
        <v>1491</v>
      </c>
      <c r="F109" s="280"/>
      <c r="G109" s="280"/>
      <c r="H109" s="281"/>
      <c r="I109" s="89" t="s">
        <v>29</v>
      </c>
      <c r="J109" s="89"/>
      <c r="K109" s="89"/>
      <c r="L109" s="89"/>
      <c r="M109" s="96"/>
      <c r="N109" s="119"/>
      <c r="O109" s="118" t="s">
        <v>1004</v>
      </c>
      <c r="P109" s="122"/>
      <c r="Q109" s="225" t="s">
        <v>1492</v>
      </c>
      <c r="R109" s="280"/>
      <c r="S109" s="280"/>
      <c r="T109" s="281"/>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42"/>
      <c r="D111" s="297"/>
      <c r="E111" s="297"/>
      <c r="F111" s="297"/>
      <c r="G111" s="297"/>
      <c r="H111" s="298"/>
      <c r="I111" s="66" t="s">
        <v>29</v>
      </c>
      <c r="J111" s="66"/>
      <c r="K111" s="66"/>
      <c r="L111" s="66"/>
      <c r="M111" s="74"/>
      <c r="N111" s="123"/>
      <c r="O111" s="240"/>
      <c r="P111" s="282"/>
      <c r="Q111" s="282"/>
      <c r="R111" s="282"/>
      <c r="S111" s="282"/>
      <c r="T111" s="283"/>
      <c r="U111" s="66" t="s">
        <v>29</v>
      </c>
    </row>
    <row r="112" spans="1:21" ht="13.2" x14ac:dyDescent="0.25">
      <c r="A112" s="67"/>
      <c r="B112" s="66"/>
      <c r="C112" s="299"/>
      <c r="D112" s="300"/>
      <c r="E112" s="300"/>
      <c r="F112" s="300"/>
      <c r="G112" s="300"/>
      <c r="H112" s="301"/>
      <c r="I112" s="66" t="s">
        <v>29</v>
      </c>
      <c r="J112" s="66"/>
      <c r="K112" s="66"/>
      <c r="L112" s="66"/>
      <c r="M112" s="74"/>
      <c r="N112" s="123"/>
      <c r="O112" s="284"/>
      <c r="P112" s="285"/>
      <c r="Q112" s="285"/>
      <c r="R112" s="285"/>
      <c r="S112" s="285"/>
      <c r="T112" s="286"/>
      <c r="U112" s="66" t="s">
        <v>29</v>
      </c>
    </row>
    <row r="113" spans="1:21" ht="13.2" x14ac:dyDescent="0.25">
      <c r="A113" s="67"/>
      <c r="B113" s="66"/>
      <c r="C113" s="299"/>
      <c r="D113" s="300"/>
      <c r="E113" s="300"/>
      <c r="F113" s="300"/>
      <c r="G113" s="300"/>
      <c r="H113" s="301"/>
      <c r="I113" s="66" t="s">
        <v>29</v>
      </c>
      <c r="J113" s="66"/>
      <c r="K113" s="66"/>
      <c r="L113" s="66"/>
      <c r="M113" s="74"/>
      <c r="N113" s="123"/>
      <c r="O113" s="284"/>
      <c r="P113" s="285"/>
      <c r="Q113" s="285"/>
      <c r="R113" s="285"/>
      <c r="S113" s="285"/>
      <c r="T113" s="286"/>
      <c r="U113" s="66" t="s">
        <v>29</v>
      </c>
    </row>
    <row r="114" spans="1:21" ht="13.2" x14ac:dyDescent="0.25">
      <c r="A114" s="67"/>
      <c r="B114" s="66"/>
      <c r="C114" s="302"/>
      <c r="D114" s="303"/>
      <c r="E114" s="303"/>
      <c r="F114" s="303"/>
      <c r="G114" s="303"/>
      <c r="H114" s="304"/>
      <c r="I114" s="66" t="s">
        <v>29</v>
      </c>
      <c r="J114" s="66"/>
      <c r="K114" s="66"/>
      <c r="L114" s="66"/>
      <c r="M114" s="74"/>
      <c r="N114" s="123"/>
      <c r="O114" s="287"/>
      <c r="P114" s="288"/>
      <c r="Q114" s="288"/>
      <c r="R114" s="288"/>
      <c r="S114" s="288"/>
      <c r="T114" s="289"/>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41"/>
      <c r="S116" s="241"/>
      <c r="T116" s="241"/>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35"/>
      <c r="S117" s="235"/>
      <c r="T117" s="235"/>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325"/>
      <c r="E119" s="271" t="s">
        <v>882</v>
      </c>
      <c r="F119" s="336"/>
      <c r="G119" s="337"/>
      <c r="H119" s="150" t="s">
        <v>1493</v>
      </c>
      <c r="I119" s="151" t="s">
        <v>29</v>
      </c>
      <c r="J119" s="152"/>
      <c r="K119" s="152"/>
      <c r="L119" s="152"/>
      <c r="M119" s="153"/>
      <c r="N119" s="64"/>
      <c r="O119" s="236" t="s">
        <v>860</v>
      </c>
      <c r="P119" s="290"/>
      <c r="Q119" s="261" t="s">
        <v>883</v>
      </c>
      <c r="R119" s="291"/>
      <c r="S119" s="292"/>
      <c r="T119" s="154" t="s">
        <v>1494</v>
      </c>
      <c r="U119" s="155" t="s">
        <v>29</v>
      </c>
    </row>
    <row r="120" spans="1:21" ht="17.399999999999999" x14ac:dyDescent="0.25">
      <c r="A120" s="67"/>
      <c r="B120" s="156"/>
      <c r="C120" s="265" t="s">
        <v>2</v>
      </c>
      <c r="D120" s="305"/>
      <c r="E120" s="306">
        <v>24</v>
      </c>
      <c r="F120" s="266"/>
      <c r="G120" s="307"/>
      <c r="H120" s="157"/>
      <c r="I120" s="151" t="s">
        <v>29</v>
      </c>
      <c r="J120" s="158"/>
      <c r="K120" s="158"/>
      <c r="L120" s="158"/>
      <c r="M120" s="159"/>
      <c r="N120" s="64"/>
      <c r="O120" s="262" t="s">
        <v>2</v>
      </c>
      <c r="P120" s="293"/>
      <c r="Q120" s="294">
        <v>47</v>
      </c>
      <c r="R120" s="263"/>
      <c r="S120" s="295"/>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B123" s="66"/>
      <c r="C123" s="68" t="s">
        <v>919</v>
      </c>
      <c r="D123" s="161" t="s">
        <v>920</v>
      </c>
      <c r="E123" s="68"/>
      <c r="F123" s="68"/>
      <c r="G123" s="78">
        <v>4</v>
      </c>
      <c r="H123" s="79">
        <v>5</v>
      </c>
      <c r="I123" s="66" t="s">
        <v>29</v>
      </c>
      <c r="J123" s="66"/>
      <c r="K123" s="66"/>
      <c r="L123" s="66"/>
      <c r="M123" s="74"/>
      <c r="N123" s="66"/>
      <c r="O123" s="68" t="s">
        <v>921</v>
      </c>
      <c r="P123" s="161" t="s">
        <v>922</v>
      </c>
      <c r="Q123" s="68"/>
      <c r="R123" s="68"/>
      <c r="S123" s="78">
        <v>4</v>
      </c>
      <c r="T123" s="79">
        <v>5</v>
      </c>
      <c r="U123" s="66" t="s">
        <v>29</v>
      </c>
    </row>
    <row r="124" spans="1:21" ht="13.2" x14ac:dyDescent="0.25">
      <c r="A124" s="67"/>
      <c r="B124" s="66"/>
      <c r="C124" s="68" t="s">
        <v>923</v>
      </c>
      <c r="D124" s="161" t="s">
        <v>924</v>
      </c>
      <c r="E124" s="68"/>
      <c r="F124" s="68"/>
      <c r="G124" s="78">
        <v>4</v>
      </c>
      <c r="H124" s="79">
        <v>5</v>
      </c>
      <c r="I124" s="66" t="s">
        <v>29</v>
      </c>
      <c r="J124" s="66"/>
      <c r="K124" s="66"/>
      <c r="L124" s="66"/>
      <c r="M124" s="74"/>
      <c r="N124" s="66"/>
      <c r="O124" s="68" t="s">
        <v>925</v>
      </c>
      <c r="P124" s="161" t="s">
        <v>926</v>
      </c>
      <c r="Q124" s="68"/>
      <c r="R124" s="68"/>
      <c r="S124" s="78">
        <v>4</v>
      </c>
      <c r="T124" s="79">
        <v>5</v>
      </c>
      <c r="U124" s="66" t="s">
        <v>29</v>
      </c>
    </row>
    <row r="125" spans="1:21" ht="13.2" x14ac:dyDescent="0.25">
      <c r="A125" s="67"/>
      <c r="B125" s="66"/>
      <c r="C125" s="68" t="s">
        <v>927</v>
      </c>
      <c r="D125" s="161" t="s">
        <v>928</v>
      </c>
      <c r="E125" s="68"/>
      <c r="F125" s="68"/>
      <c r="G125" s="78">
        <v>3</v>
      </c>
      <c r="H125" s="79">
        <v>5</v>
      </c>
      <c r="I125" s="66" t="s">
        <v>29</v>
      </c>
      <c r="J125" s="66"/>
      <c r="K125" s="66"/>
      <c r="L125" s="66"/>
      <c r="M125" s="74"/>
      <c r="N125" s="66"/>
      <c r="O125" s="68" t="s">
        <v>929</v>
      </c>
      <c r="P125" s="161" t="s">
        <v>930</v>
      </c>
      <c r="Q125" s="68"/>
      <c r="R125" s="68"/>
      <c r="S125" s="78">
        <v>1</v>
      </c>
      <c r="T125" s="79">
        <v>8</v>
      </c>
      <c r="U125" s="66" t="s">
        <v>29</v>
      </c>
    </row>
    <row r="126" spans="1:21" ht="13.2" x14ac:dyDescent="0.25">
      <c r="A126" s="67"/>
      <c r="B126" s="66"/>
      <c r="C126" s="68" t="s">
        <v>931</v>
      </c>
      <c r="D126" s="161" t="s">
        <v>932</v>
      </c>
      <c r="E126" s="68"/>
      <c r="F126" s="68"/>
      <c r="G126" s="78">
        <v>1</v>
      </c>
      <c r="H126" s="79">
        <v>8</v>
      </c>
      <c r="I126" s="66" t="s">
        <v>29</v>
      </c>
      <c r="J126" s="66"/>
      <c r="K126" s="66"/>
      <c r="L126" s="66"/>
      <c r="M126" s="74"/>
      <c r="N126" s="66"/>
      <c r="O126" s="68" t="s">
        <v>933</v>
      </c>
      <c r="P126" s="161" t="s">
        <v>934</v>
      </c>
      <c r="Q126" s="68"/>
      <c r="R126" s="68"/>
      <c r="S126" s="78">
        <v>3</v>
      </c>
      <c r="T126" s="79">
        <v>6</v>
      </c>
      <c r="U126" s="66" t="s">
        <v>29</v>
      </c>
    </row>
    <row r="127" spans="1:21" ht="13.2" x14ac:dyDescent="0.25">
      <c r="A127" s="67"/>
      <c r="B127" s="66"/>
      <c r="C127" s="80"/>
      <c r="D127" s="162" t="s">
        <v>935</v>
      </c>
      <c r="E127" s="162"/>
      <c r="F127" s="162"/>
      <c r="G127" s="72">
        <v>12</v>
      </c>
      <c r="H127" s="73">
        <v>23</v>
      </c>
      <c r="I127" s="66" t="s">
        <v>29</v>
      </c>
      <c r="J127" s="66"/>
      <c r="K127" s="66"/>
      <c r="L127" s="66"/>
      <c r="M127" s="74"/>
      <c r="N127" s="66"/>
      <c r="O127" s="80"/>
      <c r="P127" s="162" t="s">
        <v>935</v>
      </c>
      <c r="Q127" s="162"/>
      <c r="R127" s="162"/>
      <c r="S127" s="72">
        <v>12</v>
      </c>
      <c r="T127" s="73">
        <v>24</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1495</v>
      </c>
      <c r="E132" s="94" t="s">
        <v>316</v>
      </c>
      <c r="F132" s="92" t="s">
        <v>1494</v>
      </c>
      <c r="G132" s="92" t="s">
        <v>29</v>
      </c>
      <c r="H132" s="92">
        <v>5</v>
      </c>
      <c r="I132" s="115" t="s">
        <v>29</v>
      </c>
      <c r="J132" s="89"/>
      <c r="K132" s="89"/>
      <c r="L132" s="89"/>
      <c r="M132" s="96" t="s">
        <v>921</v>
      </c>
      <c r="N132" s="84"/>
      <c r="O132" s="92">
        <v>1</v>
      </c>
      <c r="P132" s="93" t="s">
        <v>1496</v>
      </c>
      <c r="Q132" s="94" t="s">
        <v>320</v>
      </c>
      <c r="R132" s="92" t="s">
        <v>1494</v>
      </c>
      <c r="S132" s="92" t="s">
        <v>29</v>
      </c>
      <c r="T132" s="92">
        <v>5</v>
      </c>
      <c r="U132" s="115" t="s">
        <v>29</v>
      </c>
    </row>
    <row r="133" spans="1:21" ht="13.2" x14ac:dyDescent="0.25">
      <c r="A133" s="67" t="s">
        <v>919</v>
      </c>
      <c r="B133" s="84"/>
      <c r="C133" s="92">
        <v>2</v>
      </c>
      <c r="D133" s="93" t="s">
        <v>1497</v>
      </c>
      <c r="E133" s="97" t="s">
        <v>75</v>
      </c>
      <c r="F133" s="92" t="s">
        <v>1493</v>
      </c>
      <c r="G133" s="92">
        <v>3</v>
      </c>
      <c r="H133" s="92" t="s">
        <v>29</v>
      </c>
      <c r="I133" s="115" t="s">
        <v>29</v>
      </c>
      <c r="J133" s="89"/>
      <c r="K133" s="89"/>
      <c r="L133" s="89"/>
      <c r="M133" s="96" t="s">
        <v>921</v>
      </c>
      <c r="N133" s="84"/>
      <c r="O133" s="92">
        <v>2</v>
      </c>
      <c r="P133" s="93" t="s">
        <v>1498</v>
      </c>
      <c r="Q133" s="97" t="s">
        <v>76</v>
      </c>
      <c r="R133" s="92" t="s">
        <v>1493</v>
      </c>
      <c r="S133" s="92">
        <v>3</v>
      </c>
      <c r="T133" s="92" t="s">
        <v>29</v>
      </c>
      <c r="U133" s="115" t="s">
        <v>29</v>
      </c>
    </row>
    <row r="134" spans="1:21" ht="13.2" x14ac:dyDescent="0.25">
      <c r="A134" s="67" t="s">
        <v>919</v>
      </c>
      <c r="B134" s="84"/>
      <c r="C134" s="92">
        <v>3</v>
      </c>
      <c r="D134" s="93" t="s">
        <v>1499</v>
      </c>
      <c r="E134" s="97" t="s">
        <v>74</v>
      </c>
      <c r="F134" s="92" t="s">
        <v>1493</v>
      </c>
      <c r="G134" s="92">
        <v>1</v>
      </c>
      <c r="H134" s="92" t="s">
        <v>29</v>
      </c>
      <c r="I134" s="115" t="s">
        <v>29</v>
      </c>
      <c r="J134" s="89"/>
      <c r="K134" s="89"/>
      <c r="L134" s="89"/>
      <c r="M134" s="96" t="s">
        <v>921</v>
      </c>
      <c r="N134" s="84"/>
      <c r="O134" s="92">
        <v>3</v>
      </c>
      <c r="P134" s="93" t="s">
        <v>1500</v>
      </c>
      <c r="Q134" s="97" t="s">
        <v>78</v>
      </c>
      <c r="R134" s="92" t="s">
        <v>1493</v>
      </c>
      <c r="S134" s="92">
        <v>1</v>
      </c>
      <c r="T134" s="92" t="s">
        <v>29</v>
      </c>
      <c r="U134" s="115" t="s">
        <v>29</v>
      </c>
    </row>
    <row r="135" spans="1:21" ht="13.2" x14ac:dyDescent="0.25">
      <c r="A135" s="67" t="s">
        <v>919</v>
      </c>
      <c r="B135" s="84"/>
      <c r="C135" s="92">
        <v>4</v>
      </c>
      <c r="D135" s="93" t="s">
        <v>1501</v>
      </c>
      <c r="E135" s="97" t="s">
        <v>76</v>
      </c>
      <c r="F135" s="92" t="s">
        <v>1493</v>
      </c>
      <c r="G135" s="92" t="s">
        <v>29</v>
      </c>
      <c r="H135" s="92" t="s">
        <v>29</v>
      </c>
      <c r="I135" s="115" t="s">
        <v>29</v>
      </c>
      <c r="J135" s="89"/>
      <c r="K135" s="89"/>
      <c r="L135" s="89"/>
      <c r="M135" s="96" t="s">
        <v>921</v>
      </c>
      <c r="N135" s="84"/>
      <c r="O135" s="92">
        <v>4</v>
      </c>
      <c r="P135" s="93" t="s">
        <v>1502</v>
      </c>
      <c r="Q135" s="97" t="s">
        <v>319</v>
      </c>
      <c r="R135" s="92" t="s">
        <v>1494</v>
      </c>
      <c r="S135" s="92" t="s">
        <v>29</v>
      </c>
      <c r="T135" s="92" t="s">
        <v>29</v>
      </c>
      <c r="U135" s="115" t="s">
        <v>29</v>
      </c>
    </row>
    <row r="136" spans="1:21" ht="13.2" x14ac:dyDescent="0.25">
      <c r="A136" s="67" t="s">
        <v>919</v>
      </c>
      <c r="B136" s="84"/>
      <c r="C136" s="92">
        <v>5</v>
      </c>
      <c r="D136" s="93" t="s">
        <v>1503</v>
      </c>
      <c r="E136" s="97" t="s">
        <v>315</v>
      </c>
      <c r="F136" s="92" t="s">
        <v>1494</v>
      </c>
      <c r="G136" s="92" t="s">
        <v>29</v>
      </c>
      <c r="H136" s="92" t="s">
        <v>29</v>
      </c>
      <c r="I136" s="115" t="s">
        <v>29</v>
      </c>
      <c r="J136" s="89"/>
      <c r="K136" s="89"/>
      <c r="L136" s="89"/>
      <c r="M136" s="96" t="s">
        <v>921</v>
      </c>
      <c r="N136" s="84"/>
      <c r="O136" s="92">
        <v>5</v>
      </c>
      <c r="P136" s="93" t="s">
        <v>1504</v>
      </c>
      <c r="Q136" s="97" t="s">
        <v>321</v>
      </c>
      <c r="R136" s="92" t="s">
        <v>1494</v>
      </c>
      <c r="S136" s="92" t="s">
        <v>29</v>
      </c>
      <c r="T136" s="92" t="s">
        <v>29</v>
      </c>
      <c r="U136" s="115" t="s">
        <v>29</v>
      </c>
    </row>
    <row r="137" spans="1:21" ht="13.2" x14ac:dyDescent="0.25">
      <c r="A137" s="67" t="s">
        <v>919</v>
      </c>
      <c r="B137" s="84"/>
      <c r="C137" s="92">
        <v>6</v>
      </c>
      <c r="D137" s="93" t="s">
        <v>1505</v>
      </c>
      <c r="E137" s="97" t="s">
        <v>314</v>
      </c>
      <c r="F137" s="92" t="s">
        <v>1494</v>
      </c>
      <c r="G137" s="92" t="s">
        <v>29</v>
      </c>
      <c r="H137" s="92" t="s">
        <v>29</v>
      </c>
      <c r="I137" s="115" t="s">
        <v>29</v>
      </c>
      <c r="J137" s="89"/>
      <c r="K137" s="89"/>
      <c r="L137" s="89"/>
      <c r="M137" s="96" t="s">
        <v>921</v>
      </c>
      <c r="N137" s="84"/>
      <c r="O137" s="92">
        <v>6</v>
      </c>
      <c r="P137" s="93" t="s">
        <v>1506</v>
      </c>
      <c r="Q137" s="97" t="s">
        <v>323</v>
      </c>
      <c r="R137" s="92" t="s">
        <v>1494</v>
      </c>
      <c r="S137" s="92" t="s">
        <v>29</v>
      </c>
      <c r="T137" s="92" t="s">
        <v>29</v>
      </c>
      <c r="U137" s="115" t="s">
        <v>29</v>
      </c>
    </row>
    <row r="138" spans="1:21" ht="13.2" x14ac:dyDescent="0.25">
      <c r="A138" s="67" t="s">
        <v>919</v>
      </c>
      <c r="B138" s="84"/>
      <c r="C138" s="92">
        <v>7</v>
      </c>
      <c r="D138" s="93" t="s">
        <v>1507</v>
      </c>
      <c r="E138" s="97" t="s">
        <v>318</v>
      </c>
      <c r="F138" s="92" t="s">
        <v>1494</v>
      </c>
      <c r="G138" s="92" t="s">
        <v>29</v>
      </c>
      <c r="H138" s="92" t="s">
        <v>29</v>
      </c>
      <c r="I138" s="115" t="s">
        <v>29</v>
      </c>
      <c r="J138" s="89"/>
      <c r="K138" s="89"/>
      <c r="L138" s="89"/>
      <c r="M138" s="96" t="s">
        <v>921</v>
      </c>
      <c r="N138" s="84"/>
      <c r="O138" s="92">
        <v>7</v>
      </c>
      <c r="P138" s="93" t="s">
        <v>1508</v>
      </c>
      <c r="Q138" s="97" t="s">
        <v>79</v>
      </c>
      <c r="R138" s="92" t="s">
        <v>1493</v>
      </c>
      <c r="S138" s="92" t="s">
        <v>29</v>
      </c>
      <c r="T138" s="92" t="s">
        <v>29</v>
      </c>
      <c r="U138" s="115" t="s">
        <v>29</v>
      </c>
    </row>
    <row r="139" spans="1:21" ht="13.2" x14ac:dyDescent="0.25">
      <c r="A139" s="67" t="s">
        <v>919</v>
      </c>
      <c r="B139" s="84"/>
      <c r="C139" s="92">
        <v>8</v>
      </c>
      <c r="D139" s="98" t="s">
        <v>1509</v>
      </c>
      <c r="E139" s="97" t="s">
        <v>317</v>
      </c>
      <c r="F139" s="92" t="s">
        <v>1494</v>
      </c>
      <c r="G139" s="92" t="s">
        <v>29</v>
      </c>
      <c r="H139" s="92" t="s">
        <v>29</v>
      </c>
      <c r="I139" s="115" t="s">
        <v>29</v>
      </c>
      <c r="J139" s="89"/>
      <c r="K139" s="89"/>
      <c r="L139" s="89"/>
      <c r="M139" s="96" t="s">
        <v>921</v>
      </c>
      <c r="N139" s="84"/>
      <c r="O139" s="92">
        <v>8</v>
      </c>
      <c r="P139" s="93" t="s">
        <v>1510</v>
      </c>
      <c r="Q139" s="97" t="s">
        <v>322</v>
      </c>
      <c r="R139" s="92" t="s">
        <v>1494</v>
      </c>
      <c r="S139" s="92" t="s">
        <v>29</v>
      </c>
      <c r="T139" s="92" t="s">
        <v>29</v>
      </c>
      <c r="U139" s="115" t="s">
        <v>29</v>
      </c>
    </row>
    <row r="140" spans="1:21" ht="13.2" x14ac:dyDescent="0.25">
      <c r="A140" s="67" t="s">
        <v>919</v>
      </c>
      <c r="B140" s="84"/>
      <c r="C140" s="92">
        <v>9</v>
      </c>
      <c r="D140" s="98" t="s">
        <v>1511</v>
      </c>
      <c r="E140" s="97" t="s">
        <v>77</v>
      </c>
      <c r="F140" s="92" t="s">
        <v>1493</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919</v>
      </c>
      <c r="B141" s="84"/>
      <c r="C141" s="92">
        <v>10</v>
      </c>
      <c r="D141" s="98" t="s">
        <v>1512</v>
      </c>
      <c r="E141" s="97" t="s">
        <v>36</v>
      </c>
      <c r="F141" s="92" t="s">
        <v>1493</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919</v>
      </c>
      <c r="B142" s="84"/>
      <c r="C142" s="92">
        <v>11</v>
      </c>
      <c r="D142" s="98" t="s">
        <v>1513</v>
      </c>
      <c r="E142" s="97" t="s">
        <v>73</v>
      </c>
      <c r="F142" s="92" t="s">
        <v>1493</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29</v>
      </c>
      <c r="B143" s="84"/>
      <c r="C143" s="92" t="s">
        <v>29</v>
      </c>
      <c r="D143" s="98" t="s">
        <v>29</v>
      </c>
      <c r="E143" s="97" t="s">
        <v>29</v>
      </c>
      <c r="F143" s="92" t="s">
        <v>29</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84"/>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76"/>
      <c r="E157" s="276"/>
      <c r="F157" s="276"/>
      <c r="G157" s="99">
        <v>4</v>
      </c>
      <c r="H157" s="99">
        <v>5</v>
      </c>
      <c r="I157" s="115" t="s">
        <v>29</v>
      </c>
      <c r="J157" s="89"/>
      <c r="K157" s="89"/>
      <c r="L157" s="89"/>
      <c r="M157" s="96" t="s">
        <v>29</v>
      </c>
      <c r="N157" s="84"/>
      <c r="O157" s="219" t="s">
        <v>955</v>
      </c>
      <c r="P157" s="276"/>
      <c r="Q157" s="276"/>
      <c r="R157" s="276"/>
      <c r="S157" s="99">
        <v>4</v>
      </c>
      <c r="T157" s="99">
        <v>5</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1514</v>
      </c>
      <c r="E161" s="94" t="s">
        <v>326</v>
      </c>
      <c r="F161" s="92" t="s">
        <v>1494</v>
      </c>
      <c r="G161" s="92" t="s">
        <v>29</v>
      </c>
      <c r="H161" s="92">
        <v>5</v>
      </c>
      <c r="I161" s="116" t="s">
        <v>29</v>
      </c>
      <c r="J161" s="89"/>
      <c r="K161" s="89"/>
      <c r="L161" s="89"/>
      <c r="M161" s="96" t="s">
        <v>925</v>
      </c>
      <c r="N161" s="108"/>
      <c r="O161" s="92">
        <v>1</v>
      </c>
      <c r="P161" s="93" t="s">
        <v>1515</v>
      </c>
      <c r="Q161" s="94" t="s">
        <v>328</v>
      </c>
      <c r="R161" s="92" t="s">
        <v>1494</v>
      </c>
      <c r="S161" s="92" t="s">
        <v>29</v>
      </c>
      <c r="T161" s="92">
        <v>5</v>
      </c>
      <c r="U161" s="116" t="s">
        <v>29</v>
      </c>
    </row>
    <row r="162" spans="1:21" ht="26.4" x14ac:dyDescent="0.25">
      <c r="A162" s="67" t="s">
        <v>923</v>
      </c>
      <c r="B162" s="108"/>
      <c r="C162" s="92">
        <v>2</v>
      </c>
      <c r="D162" s="93" t="s">
        <v>1516</v>
      </c>
      <c r="E162" s="97" t="s">
        <v>82</v>
      </c>
      <c r="F162" s="92" t="s">
        <v>1493</v>
      </c>
      <c r="G162" s="92">
        <v>3</v>
      </c>
      <c r="H162" s="92" t="s">
        <v>29</v>
      </c>
      <c r="I162" s="116" t="s">
        <v>29</v>
      </c>
      <c r="J162" s="89"/>
      <c r="K162" s="89"/>
      <c r="L162" s="89"/>
      <c r="M162" s="96" t="s">
        <v>925</v>
      </c>
      <c r="N162" s="108"/>
      <c r="O162" s="92">
        <v>2</v>
      </c>
      <c r="P162" s="93" t="s">
        <v>1517</v>
      </c>
      <c r="Q162" s="97" t="s">
        <v>85</v>
      </c>
      <c r="R162" s="92" t="s">
        <v>1493</v>
      </c>
      <c r="S162" s="92">
        <v>3</v>
      </c>
      <c r="T162" s="92" t="s">
        <v>29</v>
      </c>
      <c r="U162" s="116" t="s">
        <v>29</v>
      </c>
    </row>
    <row r="163" spans="1:21" ht="13.2" x14ac:dyDescent="0.25">
      <c r="A163" s="67" t="s">
        <v>923</v>
      </c>
      <c r="B163" s="108"/>
      <c r="C163" s="92">
        <v>3</v>
      </c>
      <c r="D163" s="93" t="s">
        <v>1518</v>
      </c>
      <c r="E163" s="97" t="s">
        <v>83</v>
      </c>
      <c r="F163" s="92" t="s">
        <v>1493</v>
      </c>
      <c r="G163" s="92">
        <v>1</v>
      </c>
      <c r="H163" s="92" t="s">
        <v>29</v>
      </c>
      <c r="I163" s="116" t="s">
        <v>29</v>
      </c>
      <c r="J163" s="89"/>
      <c r="K163" s="89"/>
      <c r="L163" s="89"/>
      <c r="M163" s="96" t="s">
        <v>925</v>
      </c>
      <c r="N163" s="108"/>
      <c r="O163" s="92">
        <v>3</v>
      </c>
      <c r="P163" s="93" t="s">
        <v>1519</v>
      </c>
      <c r="Q163" s="97" t="s">
        <v>86</v>
      </c>
      <c r="R163" s="92" t="s">
        <v>1493</v>
      </c>
      <c r="S163" s="92">
        <v>1</v>
      </c>
      <c r="T163" s="92" t="s">
        <v>29</v>
      </c>
      <c r="U163" s="116" t="s">
        <v>29</v>
      </c>
    </row>
    <row r="164" spans="1:21" ht="13.2" x14ac:dyDescent="0.25">
      <c r="A164" s="67" t="s">
        <v>29</v>
      </c>
      <c r="B164" s="108"/>
      <c r="C164" s="92" t="s">
        <v>29</v>
      </c>
      <c r="D164" s="93" t="s">
        <v>29</v>
      </c>
      <c r="E164" s="97" t="s">
        <v>29</v>
      </c>
      <c r="F164" s="92" t="s">
        <v>29</v>
      </c>
      <c r="G164" s="92" t="s">
        <v>29</v>
      </c>
      <c r="H164" s="92" t="s">
        <v>29</v>
      </c>
      <c r="I164" s="116" t="s">
        <v>29</v>
      </c>
      <c r="J164" s="89"/>
      <c r="K164" s="89"/>
      <c r="L164" s="89"/>
      <c r="M164" s="96" t="s">
        <v>925</v>
      </c>
      <c r="N164" s="108"/>
      <c r="O164" s="92">
        <v>4</v>
      </c>
      <c r="P164" s="93" t="s">
        <v>1520</v>
      </c>
      <c r="Q164" s="97" t="s">
        <v>327</v>
      </c>
      <c r="R164" s="92" t="s">
        <v>1494</v>
      </c>
      <c r="S164" s="92" t="s">
        <v>29</v>
      </c>
      <c r="T164" s="92" t="s">
        <v>29</v>
      </c>
      <c r="U164" s="116" t="s">
        <v>29</v>
      </c>
    </row>
    <row r="165" spans="1:21" ht="13.2" x14ac:dyDescent="0.25">
      <c r="A165" s="67" t="s">
        <v>29</v>
      </c>
      <c r="B165" s="108"/>
      <c r="C165" s="92" t="s">
        <v>29</v>
      </c>
      <c r="D165" s="93" t="s">
        <v>29</v>
      </c>
      <c r="E165" s="97" t="s">
        <v>29</v>
      </c>
      <c r="F165" s="92" t="s">
        <v>29</v>
      </c>
      <c r="G165" s="92" t="s">
        <v>29</v>
      </c>
      <c r="H165" s="92" t="s">
        <v>29</v>
      </c>
      <c r="I165" s="116" t="s">
        <v>29</v>
      </c>
      <c r="J165" s="89"/>
      <c r="K165" s="89"/>
      <c r="L165" s="89"/>
      <c r="M165" s="96" t="s">
        <v>925</v>
      </c>
      <c r="N165" s="108"/>
      <c r="O165" s="92">
        <v>5</v>
      </c>
      <c r="P165" s="93" t="s">
        <v>1521</v>
      </c>
      <c r="Q165" s="97" t="s">
        <v>87</v>
      </c>
      <c r="R165" s="92" t="s">
        <v>1493</v>
      </c>
      <c r="S165" s="92" t="s">
        <v>29</v>
      </c>
      <c r="T165" s="92" t="s">
        <v>29</v>
      </c>
      <c r="U165" s="116" t="s">
        <v>29</v>
      </c>
    </row>
    <row r="166" spans="1:21" ht="13.2" x14ac:dyDescent="0.25">
      <c r="A166" s="67" t="s">
        <v>29</v>
      </c>
      <c r="B166" s="108"/>
      <c r="C166" s="92" t="s">
        <v>29</v>
      </c>
      <c r="D166" s="93" t="s">
        <v>29</v>
      </c>
      <c r="E166" s="97" t="s">
        <v>29</v>
      </c>
      <c r="F166" s="92" t="s">
        <v>29</v>
      </c>
      <c r="G166" s="92" t="s">
        <v>29</v>
      </c>
      <c r="H166" s="92" t="s">
        <v>29</v>
      </c>
      <c r="I166" s="116" t="s">
        <v>29</v>
      </c>
      <c r="J166" s="89"/>
      <c r="K166" s="89"/>
      <c r="L166" s="89"/>
      <c r="M166" s="96" t="s">
        <v>925</v>
      </c>
      <c r="N166" s="108"/>
      <c r="O166" s="92">
        <v>6</v>
      </c>
      <c r="P166" s="93" t="s">
        <v>1522</v>
      </c>
      <c r="Q166" s="97" t="s">
        <v>84</v>
      </c>
      <c r="R166" s="92" t="s">
        <v>1493</v>
      </c>
      <c r="S166" s="92" t="s">
        <v>29</v>
      </c>
      <c r="T166" s="92" t="s">
        <v>29</v>
      </c>
      <c r="U166" s="116" t="s">
        <v>29</v>
      </c>
    </row>
    <row r="167" spans="1:21" ht="13.2" x14ac:dyDescent="0.25">
      <c r="A167" s="67" t="s">
        <v>29</v>
      </c>
      <c r="B167" s="108"/>
      <c r="C167" s="92" t="s">
        <v>29</v>
      </c>
      <c r="D167" s="93" t="s">
        <v>29</v>
      </c>
      <c r="E167" s="97" t="s">
        <v>29</v>
      </c>
      <c r="F167" s="92" t="s">
        <v>29</v>
      </c>
      <c r="G167" s="92" t="s">
        <v>29</v>
      </c>
      <c r="H167" s="92" t="s">
        <v>29</v>
      </c>
      <c r="I167" s="116" t="s">
        <v>29</v>
      </c>
      <c r="J167" s="89"/>
      <c r="K167" s="89"/>
      <c r="L167" s="89"/>
      <c r="M167" s="96" t="s">
        <v>29</v>
      </c>
      <c r="N167" s="108"/>
      <c r="O167" s="92" t="s">
        <v>29</v>
      </c>
      <c r="P167" s="93" t="s">
        <v>29</v>
      </c>
      <c r="Q167" s="97" t="s">
        <v>29</v>
      </c>
      <c r="R167" s="92" t="s">
        <v>29</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76"/>
      <c r="E176" s="276"/>
      <c r="F176" s="296"/>
      <c r="G176" s="99">
        <v>4</v>
      </c>
      <c r="H176" s="99">
        <v>5</v>
      </c>
      <c r="I176" s="116" t="s">
        <v>29</v>
      </c>
      <c r="J176" s="89"/>
      <c r="K176" s="89"/>
      <c r="L176" s="89"/>
      <c r="M176" s="96" t="s">
        <v>29</v>
      </c>
      <c r="N176" s="108"/>
      <c r="O176" s="219" t="s">
        <v>972</v>
      </c>
      <c r="P176" s="276"/>
      <c r="Q176" s="276"/>
      <c r="R176" s="296"/>
      <c r="S176" s="99">
        <v>4</v>
      </c>
      <c r="T176" s="99">
        <v>5</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1523</v>
      </c>
      <c r="E180" s="94" t="s">
        <v>324</v>
      </c>
      <c r="F180" s="92" t="s">
        <v>1494</v>
      </c>
      <c r="G180" s="92" t="s">
        <v>29</v>
      </c>
      <c r="H180" s="92">
        <v>5</v>
      </c>
      <c r="I180" s="115" t="s">
        <v>29</v>
      </c>
      <c r="J180" s="89"/>
      <c r="K180" s="89"/>
      <c r="L180" s="89"/>
      <c r="M180" s="96" t="s">
        <v>929</v>
      </c>
      <c r="N180" s="84"/>
      <c r="O180" s="92">
        <v>1</v>
      </c>
      <c r="P180" s="93" t="s">
        <v>1524</v>
      </c>
      <c r="Q180" s="94" t="s">
        <v>112</v>
      </c>
      <c r="R180" s="92" t="s">
        <v>1494</v>
      </c>
      <c r="S180" s="92" t="s">
        <v>29</v>
      </c>
      <c r="T180" s="92">
        <v>5</v>
      </c>
      <c r="U180" s="115" t="s">
        <v>29</v>
      </c>
    </row>
    <row r="181" spans="1:21" ht="13.2" x14ac:dyDescent="0.25">
      <c r="A181" s="67" t="s">
        <v>927</v>
      </c>
      <c r="B181" s="84"/>
      <c r="C181" s="92">
        <v>2</v>
      </c>
      <c r="D181" s="93" t="s">
        <v>1525</v>
      </c>
      <c r="E181" s="97" t="s">
        <v>80</v>
      </c>
      <c r="F181" s="92" t="s">
        <v>1493</v>
      </c>
      <c r="G181" s="92">
        <v>3</v>
      </c>
      <c r="H181" s="92" t="s">
        <v>29</v>
      </c>
      <c r="I181" s="115" t="s">
        <v>29</v>
      </c>
      <c r="J181" s="89"/>
      <c r="K181" s="89"/>
      <c r="L181" s="89"/>
      <c r="M181" s="96" t="s">
        <v>929</v>
      </c>
      <c r="N181" s="84"/>
      <c r="O181" s="92">
        <v>2</v>
      </c>
      <c r="P181" s="93" t="s">
        <v>1526</v>
      </c>
      <c r="Q181" s="97" t="s">
        <v>325</v>
      </c>
      <c r="R181" s="92" t="s">
        <v>1494</v>
      </c>
      <c r="S181" s="92" t="s">
        <v>29</v>
      </c>
      <c r="T181" s="92">
        <v>3</v>
      </c>
      <c r="U181" s="115" t="s">
        <v>29</v>
      </c>
    </row>
    <row r="182" spans="1:21" ht="13.2" x14ac:dyDescent="0.25">
      <c r="A182" s="67" t="s">
        <v>29</v>
      </c>
      <c r="B182" s="84"/>
      <c r="C182" s="92" t="s">
        <v>29</v>
      </c>
      <c r="D182" s="93" t="s">
        <v>29</v>
      </c>
      <c r="E182" s="97" t="s">
        <v>29</v>
      </c>
      <c r="F182" s="92" t="s">
        <v>29</v>
      </c>
      <c r="G182" s="92" t="s">
        <v>29</v>
      </c>
      <c r="H182" s="92" t="s">
        <v>29</v>
      </c>
      <c r="I182" s="115" t="s">
        <v>29</v>
      </c>
      <c r="J182" s="89"/>
      <c r="K182" s="89"/>
      <c r="L182" s="89"/>
      <c r="M182" s="96" t="s">
        <v>929</v>
      </c>
      <c r="N182" s="84"/>
      <c r="O182" s="92">
        <v>3</v>
      </c>
      <c r="P182" s="93" t="s">
        <v>1527</v>
      </c>
      <c r="Q182" s="97" t="s">
        <v>81</v>
      </c>
      <c r="R182" s="92" t="s">
        <v>1493</v>
      </c>
      <c r="S182" s="92">
        <v>1</v>
      </c>
      <c r="T182" s="92" t="s">
        <v>29</v>
      </c>
      <c r="U182" s="115" t="s">
        <v>29</v>
      </c>
    </row>
    <row r="183" spans="1:21" ht="13.2" x14ac:dyDescent="0.25">
      <c r="A183" s="67" t="s">
        <v>29</v>
      </c>
      <c r="B183" s="84"/>
      <c r="C183" s="92" t="s">
        <v>29</v>
      </c>
      <c r="D183" s="93" t="s">
        <v>29</v>
      </c>
      <c r="E183" s="97" t="s">
        <v>29</v>
      </c>
      <c r="F183" s="92" t="s">
        <v>29</v>
      </c>
      <c r="G183" s="92" t="s">
        <v>29</v>
      </c>
      <c r="H183" s="92" t="s">
        <v>29</v>
      </c>
      <c r="I183" s="115" t="s">
        <v>29</v>
      </c>
      <c r="J183" s="89"/>
      <c r="K183" s="89"/>
      <c r="L183" s="89"/>
      <c r="M183" s="96" t="s">
        <v>29</v>
      </c>
      <c r="N183" s="84"/>
      <c r="O183" s="92" t="s">
        <v>29</v>
      </c>
      <c r="P183" s="93" t="s">
        <v>29</v>
      </c>
      <c r="Q183" s="97" t="s">
        <v>29</v>
      </c>
      <c r="R183" s="92" t="s">
        <v>29</v>
      </c>
      <c r="S183" s="92" t="s">
        <v>29</v>
      </c>
      <c r="T183" s="92" t="s">
        <v>29</v>
      </c>
      <c r="U183" s="115" t="s">
        <v>29</v>
      </c>
    </row>
    <row r="184" spans="1:21" ht="13.2" x14ac:dyDescent="0.25">
      <c r="A184" s="67" t="s">
        <v>29</v>
      </c>
      <c r="B184" s="84"/>
      <c r="C184" s="92" t="s">
        <v>29</v>
      </c>
      <c r="D184" s="93" t="s">
        <v>29</v>
      </c>
      <c r="E184" s="97" t="s">
        <v>29</v>
      </c>
      <c r="F184" s="92" t="s">
        <v>29</v>
      </c>
      <c r="G184" s="92" t="s">
        <v>29</v>
      </c>
      <c r="H184" s="92" t="s">
        <v>29</v>
      </c>
      <c r="I184" s="115" t="s">
        <v>29</v>
      </c>
      <c r="J184" s="89"/>
      <c r="K184" s="89"/>
      <c r="L184" s="89"/>
      <c r="M184" s="96" t="s">
        <v>29</v>
      </c>
      <c r="N184" s="84"/>
      <c r="O184" s="92" t="s">
        <v>29</v>
      </c>
      <c r="P184" s="93" t="s">
        <v>29</v>
      </c>
      <c r="Q184" s="97" t="s">
        <v>29</v>
      </c>
      <c r="R184" s="92" t="s">
        <v>29</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84"/>
      <c r="C187" s="92" t="s">
        <v>29</v>
      </c>
      <c r="D187" s="93" t="s">
        <v>29</v>
      </c>
      <c r="E187" s="97" t="s">
        <v>29</v>
      </c>
      <c r="F187" s="92" t="s">
        <v>29</v>
      </c>
      <c r="G187" s="92" t="s">
        <v>29</v>
      </c>
      <c r="H187" s="92" t="s">
        <v>29</v>
      </c>
      <c r="I187" s="115" t="s">
        <v>29</v>
      </c>
      <c r="J187" s="89"/>
      <c r="K187" s="89"/>
      <c r="L187" s="89"/>
      <c r="M187" s="96" t="s">
        <v>29</v>
      </c>
      <c r="N187" s="84"/>
      <c r="O187" s="92" t="s">
        <v>29</v>
      </c>
      <c r="P187" s="93" t="s">
        <v>29</v>
      </c>
      <c r="Q187" s="97" t="s">
        <v>29</v>
      </c>
      <c r="R187" s="92" t="s">
        <v>29</v>
      </c>
      <c r="S187" s="92" t="s">
        <v>29</v>
      </c>
      <c r="T187" s="92" t="s">
        <v>29</v>
      </c>
      <c r="U187" s="115" t="s">
        <v>29</v>
      </c>
    </row>
    <row r="188" spans="1:21" ht="13.2" x14ac:dyDescent="0.25">
      <c r="A188" s="67" t="s">
        <v>29</v>
      </c>
      <c r="B188" s="84"/>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84"/>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84"/>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84"/>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76"/>
      <c r="E195" s="276"/>
      <c r="F195" s="276"/>
      <c r="G195" s="99">
        <v>3</v>
      </c>
      <c r="H195" s="99">
        <v>5</v>
      </c>
      <c r="I195" s="115" t="s">
        <v>29</v>
      </c>
      <c r="J195" s="89"/>
      <c r="K195" s="89"/>
      <c r="L195" s="89"/>
      <c r="M195" s="96" t="s">
        <v>29</v>
      </c>
      <c r="N195" s="84"/>
      <c r="O195" s="219" t="s">
        <v>985</v>
      </c>
      <c r="P195" s="276"/>
      <c r="Q195" s="276"/>
      <c r="R195" s="276"/>
      <c r="S195" s="99">
        <v>1</v>
      </c>
      <c r="T195" s="99">
        <v>8</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08"/>
      <c r="C199" s="92">
        <v>1</v>
      </c>
      <c r="D199" s="93" t="s">
        <v>1528</v>
      </c>
      <c r="E199" s="94" t="s">
        <v>329</v>
      </c>
      <c r="F199" s="92" t="s">
        <v>1494</v>
      </c>
      <c r="G199" s="92" t="s">
        <v>29</v>
      </c>
      <c r="H199" s="92">
        <v>5</v>
      </c>
      <c r="I199" s="116" t="s">
        <v>29</v>
      </c>
      <c r="J199" s="89"/>
      <c r="K199" s="89"/>
      <c r="L199" s="89"/>
      <c r="M199" s="96" t="s">
        <v>933</v>
      </c>
      <c r="N199" s="108"/>
      <c r="O199" s="92">
        <v>1</v>
      </c>
      <c r="P199" s="93" t="s">
        <v>1529</v>
      </c>
      <c r="Q199" s="94" t="s">
        <v>333</v>
      </c>
      <c r="R199" s="92" t="s">
        <v>1494</v>
      </c>
      <c r="S199" s="92" t="s">
        <v>29</v>
      </c>
      <c r="T199" s="92">
        <v>5</v>
      </c>
      <c r="U199" s="116" t="s">
        <v>29</v>
      </c>
    </row>
    <row r="200" spans="1:21" ht="13.2" x14ac:dyDescent="0.25">
      <c r="A200" s="67" t="s">
        <v>931</v>
      </c>
      <c r="B200" s="108"/>
      <c r="C200" s="92">
        <v>2</v>
      </c>
      <c r="D200" s="93" t="s">
        <v>1530</v>
      </c>
      <c r="E200" s="97" t="s">
        <v>330</v>
      </c>
      <c r="F200" s="92" t="s">
        <v>1494</v>
      </c>
      <c r="G200" s="92" t="s">
        <v>29</v>
      </c>
      <c r="H200" s="92">
        <v>3</v>
      </c>
      <c r="I200" s="116" t="s">
        <v>29</v>
      </c>
      <c r="J200" s="89"/>
      <c r="K200" s="89"/>
      <c r="L200" s="89"/>
      <c r="M200" s="96" t="s">
        <v>933</v>
      </c>
      <c r="N200" s="108"/>
      <c r="O200" s="92">
        <v>2</v>
      </c>
      <c r="P200" s="93" t="s">
        <v>1531</v>
      </c>
      <c r="Q200" s="97" t="s">
        <v>89</v>
      </c>
      <c r="R200" s="92" t="s">
        <v>1493</v>
      </c>
      <c r="S200" s="92">
        <v>3</v>
      </c>
      <c r="T200" s="92" t="s">
        <v>29</v>
      </c>
      <c r="U200" s="116" t="s">
        <v>29</v>
      </c>
    </row>
    <row r="201" spans="1:21" ht="13.2" x14ac:dyDescent="0.25">
      <c r="A201" s="67" t="s">
        <v>931</v>
      </c>
      <c r="B201" s="108"/>
      <c r="C201" s="92">
        <v>3</v>
      </c>
      <c r="D201" s="93" t="s">
        <v>1532</v>
      </c>
      <c r="E201" s="97" t="s">
        <v>88</v>
      </c>
      <c r="F201" s="92" t="s">
        <v>1493</v>
      </c>
      <c r="G201" s="92">
        <v>1</v>
      </c>
      <c r="H201" s="92" t="s">
        <v>29</v>
      </c>
      <c r="I201" s="116" t="s">
        <v>29</v>
      </c>
      <c r="J201" s="89"/>
      <c r="K201" s="89"/>
      <c r="L201" s="89"/>
      <c r="M201" s="96" t="s">
        <v>933</v>
      </c>
      <c r="N201" s="108"/>
      <c r="O201" s="92">
        <v>3</v>
      </c>
      <c r="P201" s="93" t="s">
        <v>1533</v>
      </c>
      <c r="Q201" s="97" t="s">
        <v>331</v>
      </c>
      <c r="R201" s="92" t="s">
        <v>1494</v>
      </c>
      <c r="S201" s="92" t="s">
        <v>29</v>
      </c>
      <c r="T201" s="92">
        <v>1</v>
      </c>
      <c r="U201" s="116" t="s">
        <v>29</v>
      </c>
    </row>
    <row r="202" spans="1:21" ht="13.2" x14ac:dyDescent="0.25">
      <c r="A202" s="67" t="s">
        <v>29</v>
      </c>
      <c r="B202" s="108"/>
      <c r="C202" s="92" t="s">
        <v>29</v>
      </c>
      <c r="D202" s="93" t="s">
        <v>29</v>
      </c>
      <c r="E202" s="97" t="s">
        <v>29</v>
      </c>
      <c r="F202" s="92" t="s">
        <v>29</v>
      </c>
      <c r="G202" s="92" t="s">
        <v>29</v>
      </c>
      <c r="H202" s="92" t="s">
        <v>29</v>
      </c>
      <c r="I202" s="116" t="s">
        <v>29</v>
      </c>
      <c r="J202" s="89"/>
      <c r="K202" s="89"/>
      <c r="L202" s="89"/>
      <c r="M202" s="96" t="s">
        <v>933</v>
      </c>
      <c r="N202" s="108"/>
      <c r="O202" s="92">
        <v>4</v>
      </c>
      <c r="P202" s="93" t="s">
        <v>1534</v>
      </c>
      <c r="Q202" s="97" t="s">
        <v>332</v>
      </c>
      <c r="R202" s="92" t="s">
        <v>1494</v>
      </c>
      <c r="S202" s="92" t="s">
        <v>29</v>
      </c>
      <c r="T202" s="92" t="s">
        <v>29</v>
      </c>
      <c r="U202" s="116" t="s">
        <v>29</v>
      </c>
    </row>
    <row r="203" spans="1:21" ht="13.2" x14ac:dyDescent="0.25">
      <c r="A203" s="67" t="s">
        <v>29</v>
      </c>
      <c r="B203" s="108"/>
      <c r="C203" s="92" t="s">
        <v>29</v>
      </c>
      <c r="D203" s="93" t="s">
        <v>29</v>
      </c>
      <c r="E203" s="97" t="s">
        <v>29</v>
      </c>
      <c r="F203" s="92" t="s">
        <v>29</v>
      </c>
      <c r="G203" s="92" t="s">
        <v>29</v>
      </c>
      <c r="H203" s="92" t="s">
        <v>29</v>
      </c>
      <c r="I203" s="116" t="s">
        <v>29</v>
      </c>
      <c r="J203" s="89"/>
      <c r="K203" s="89"/>
      <c r="L203" s="89"/>
      <c r="M203" s="96" t="s">
        <v>29</v>
      </c>
      <c r="N203" s="108"/>
      <c r="O203" s="92" t="s">
        <v>29</v>
      </c>
      <c r="P203" s="93" t="s">
        <v>29</v>
      </c>
      <c r="Q203" s="97" t="s">
        <v>29</v>
      </c>
      <c r="R203" s="92" t="s">
        <v>29</v>
      </c>
      <c r="S203" s="92" t="s">
        <v>29</v>
      </c>
      <c r="T203" s="92" t="s">
        <v>29</v>
      </c>
      <c r="U203" s="116" t="s">
        <v>29</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76"/>
      <c r="E214" s="276"/>
      <c r="F214" s="276"/>
      <c r="G214" s="99">
        <v>1</v>
      </c>
      <c r="H214" s="99">
        <v>8</v>
      </c>
      <c r="I214" s="116" t="s">
        <v>29</v>
      </c>
      <c r="J214" s="89"/>
      <c r="K214" s="89"/>
      <c r="L214" s="89"/>
      <c r="M214" s="96" t="s">
        <v>29</v>
      </c>
      <c r="N214" s="108"/>
      <c r="O214" s="219" t="s">
        <v>996</v>
      </c>
      <c r="P214" s="276"/>
      <c r="Q214" s="276"/>
      <c r="R214" s="276"/>
      <c r="S214" s="99">
        <v>3</v>
      </c>
      <c r="T214" s="99">
        <v>6</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1535</v>
      </c>
      <c r="R216" s="277"/>
      <c r="S216" s="277"/>
      <c r="T216" s="278"/>
      <c r="U216" s="66" t="s">
        <v>29</v>
      </c>
    </row>
    <row r="217" spans="1:21" ht="13.2" x14ac:dyDescent="0.25">
      <c r="A217" s="67"/>
      <c r="B217" s="66"/>
      <c r="C217" s="245" t="s">
        <v>1536</v>
      </c>
      <c r="D217" s="308"/>
      <c r="E217" s="308"/>
      <c r="F217" s="308"/>
      <c r="G217" s="308"/>
      <c r="H217" s="309"/>
      <c r="I217" s="89" t="s">
        <v>29</v>
      </c>
      <c r="J217" s="89"/>
      <c r="K217" s="89"/>
      <c r="L217" s="89"/>
      <c r="M217" s="96"/>
      <c r="N217" s="119"/>
      <c r="O217" s="120" t="s">
        <v>1001</v>
      </c>
      <c r="P217" s="121"/>
      <c r="Q217" s="221" t="s">
        <v>1537</v>
      </c>
      <c r="R217" s="277"/>
      <c r="S217" s="277"/>
      <c r="T217" s="278"/>
      <c r="U217" s="66" t="s">
        <v>29</v>
      </c>
    </row>
    <row r="218" spans="1:21" ht="13.2" x14ac:dyDescent="0.25">
      <c r="A218" s="67"/>
      <c r="B218" s="66"/>
      <c r="C218" s="310"/>
      <c r="D218" s="311"/>
      <c r="E218" s="311"/>
      <c r="F218" s="311"/>
      <c r="G218" s="311"/>
      <c r="H218" s="312"/>
      <c r="I218" s="89" t="s">
        <v>29</v>
      </c>
      <c r="J218" s="89"/>
      <c r="K218" s="89"/>
      <c r="L218" s="89"/>
      <c r="M218" s="96"/>
      <c r="N218" s="119"/>
      <c r="O218" s="120"/>
      <c r="P218" s="121"/>
      <c r="Q218" s="279"/>
      <c r="R218" s="279"/>
      <c r="S218" s="279"/>
      <c r="T218" s="279"/>
      <c r="U218" s="66" t="s">
        <v>29</v>
      </c>
    </row>
    <row r="219" spans="1:21" ht="13.2" x14ac:dyDescent="0.25">
      <c r="A219" s="67"/>
      <c r="B219" s="66"/>
      <c r="C219" s="118" t="s">
        <v>1003</v>
      </c>
      <c r="D219" s="122"/>
      <c r="E219" s="225" t="s">
        <v>1537</v>
      </c>
      <c r="F219" s="280"/>
      <c r="G219" s="280"/>
      <c r="H219" s="281"/>
      <c r="I219" s="89" t="s">
        <v>29</v>
      </c>
      <c r="J219" s="89"/>
      <c r="K219" s="89"/>
      <c r="L219" s="89"/>
      <c r="M219" s="96"/>
      <c r="N219" s="119"/>
      <c r="O219" s="118" t="s">
        <v>1004</v>
      </c>
      <c r="P219" s="122"/>
      <c r="Q219" s="225" t="s">
        <v>1538</v>
      </c>
      <c r="R219" s="280"/>
      <c r="S219" s="280"/>
      <c r="T219" s="281"/>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97"/>
      <c r="E221" s="297"/>
      <c r="F221" s="297"/>
      <c r="G221" s="297"/>
      <c r="H221" s="298"/>
      <c r="I221" s="66" t="s">
        <v>29</v>
      </c>
      <c r="J221" s="66"/>
      <c r="K221" s="66"/>
      <c r="L221" s="66"/>
      <c r="M221" s="74"/>
      <c r="N221" s="123"/>
      <c r="O221" s="240"/>
      <c r="P221" s="282"/>
      <c r="Q221" s="282"/>
      <c r="R221" s="282"/>
      <c r="S221" s="282"/>
      <c r="T221" s="283"/>
      <c r="U221" s="66" t="s">
        <v>29</v>
      </c>
    </row>
    <row r="222" spans="1:21" ht="13.2" x14ac:dyDescent="0.25">
      <c r="A222" s="67"/>
      <c r="B222" s="66"/>
      <c r="C222" s="299"/>
      <c r="D222" s="300"/>
      <c r="E222" s="300"/>
      <c r="F222" s="300"/>
      <c r="G222" s="300"/>
      <c r="H222" s="301"/>
      <c r="I222" s="66" t="s">
        <v>29</v>
      </c>
      <c r="J222" s="66"/>
      <c r="K222" s="66"/>
      <c r="L222" s="66"/>
      <c r="M222" s="74"/>
      <c r="N222" s="123"/>
      <c r="O222" s="284"/>
      <c r="P222" s="285"/>
      <c r="Q222" s="285"/>
      <c r="R222" s="285"/>
      <c r="S222" s="285"/>
      <c r="T222" s="286"/>
      <c r="U222" s="66" t="s">
        <v>29</v>
      </c>
    </row>
    <row r="223" spans="1:21" ht="13.2" x14ac:dyDescent="0.25">
      <c r="A223" s="67"/>
      <c r="B223" s="66"/>
      <c r="C223" s="299"/>
      <c r="D223" s="300"/>
      <c r="E223" s="300"/>
      <c r="F223" s="300"/>
      <c r="G223" s="300"/>
      <c r="H223" s="301"/>
      <c r="I223" s="66" t="s">
        <v>29</v>
      </c>
      <c r="J223" s="66"/>
      <c r="K223" s="66"/>
      <c r="L223" s="66"/>
      <c r="M223" s="74"/>
      <c r="N223" s="123"/>
      <c r="O223" s="284"/>
      <c r="P223" s="285"/>
      <c r="Q223" s="285"/>
      <c r="R223" s="285"/>
      <c r="S223" s="285"/>
      <c r="T223" s="286"/>
      <c r="U223" s="66" t="s">
        <v>29</v>
      </c>
    </row>
    <row r="224" spans="1:21" ht="13.2" x14ac:dyDescent="0.25">
      <c r="A224" s="67"/>
      <c r="B224" s="66"/>
      <c r="C224" s="302"/>
      <c r="D224" s="303"/>
      <c r="E224" s="303"/>
      <c r="F224" s="303"/>
      <c r="G224" s="303"/>
      <c r="H224" s="304"/>
      <c r="I224" s="66" t="s">
        <v>29</v>
      </c>
      <c r="J224" s="66"/>
      <c r="K224" s="66"/>
      <c r="L224" s="66"/>
      <c r="M224" s="74"/>
      <c r="N224" s="123"/>
      <c r="O224" s="287"/>
      <c r="P224" s="288"/>
      <c r="Q224" s="288"/>
      <c r="R224" s="288"/>
      <c r="S224" s="288"/>
      <c r="T224" s="289"/>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41"/>
      <c r="S226" s="241"/>
      <c r="T226" s="241"/>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35"/>
      <c r="S227" s="235"/>
      <c r="T227" s="235"/>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325"/>
      <c r="E229" s="271" t="s">
        <v>884</v>
      </c>
      <c r="F229" s="336"/>
      <c r="G229" s="337"/>
      <c r="H229" s="150" t="s">
        <v>1539</v>
      </c>
      <c r="I229" s="151" t="s">
        <v>29</v>
      </c>
      <c r="J229" s="152"/>
      <c r="K229" s="152"/>
      <c r="L229" s="152"/>
      <c r="M229" s="153"/>
      <c r="N229" s="64"/>
      <c r="O229" s="236" t="s">
        <v>860</v>
      </c>
      <c r="P229" s="290"/>
      <c r="Q229" s="261" t="s">
        <v>885</v>
      </c>
      <c r="R229" s="291"/>
      <c r="S229" s="292"/>
      <c r="T229" s="154" t="s">
        <v>1540</v>
      </c>
      <c r="U229" s="155" t="s">
        <v>29</v>
      </c>
    </row>
    <row r="230" spans="1:21" ht="17.399999999999999" x14ac:dyDescent="0.25">
      <c r="A230" s="67"/>
      <c r="B230" s="156"/>
      <c r="C230" s="265" t="s">
        <v>2</v>
      </c>
      <c r="D230" s="305"/>
      <c r="E230" s="306">
        <v>27</v>
      </c>
      <c r="F230" s="266"/>
      <c r="G230" s="307"/>
      <c r="H230" s="157"/>
      <c r="I230" s="151" t="s">
        <v>29</v>
      </c>
      <c r="J230" s="158"/>
      <c r="K230" s="158"/>
      <c r="L230" s="158"/>
      <c r="M230" s="159"/>
      <c r="N230" s="64"/>
      <c r="O230" s="262" t="s">
        <v>2</v>
      </c>
      <c r="P230" s="293"/>
      <c r="Q230" s="294">
        <v>45</v>
      </c>
      <c r="R230" s="263"/>
      <c r="S230" s="295"/>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B233" s="66"/>
      <c r="C233" s="68" t="s">
        <v>919</v>
      </c>
      <c r="D233" s="161" t="s">
        <v>920</v>
      </c>
      <c r="E233" s="68"/>
      <c r="F233" s="68"/>
      <c r="G233" s="78">
        <v>1</v>
      </c>
      <c r="H233" s="79">
        <v>8</v>
      </c>
      <c r="I233" s="66" t="s">
        <v>29</v>
      </c>
      <c r="J233" s="66"/>
      <c r="K233" s="66"/>
      <c r="L233" s="66"/>
      <c r="M233" s="74"/>
      <c r="N233" s="66"/>
      <c r="O233" s="68" t="s">
        <v>921</v>
      </c>
      <c r="P233" s="161" t="s">
        <v>922</v>
      </c>
      <c r="Q233" s="68"/>
      <c r="R233" s="68"/>
      <c r="S233" s="78">
        <v>1</v>
      </c>
      <c r="T233" s="79">
        <v>8</v>
      </c>
      <c r="U233" s="66" t="s">
        <v>29</v>
      </c>
    </row>
    <row r="234" spans="1:21" ht="13.2" x14ac:dyDescent="0.25">
      <c r="A234" s="67"/>
      <c r="B234" s="66"/>
      <c r="C234" s="68" t="s">
        <v>923</v>
      </c>
      <c r="D234" s="161" t="s">
        <v>924</v>
      </c>
      <c r="E234" s="68"/>
      <c r="F234" s="68"/>
      <c r="G234" s="78">
        <v>8</v>
      </c>
      <c r="H234" s="79">
        <v>1</v>
      </c>
      <c r="I234" s="66" t="s">
        <v>29</v>
      </c>
      <c r="J234" s="66"/>
      <c r="K234" s="66"/>
      <c r="L234" s="66"/>
      <c r="M234" s="74"/>
      <c r="N234" s="66"/>
      <c r="O234" s="68" t="s">
        <v>925</v>
      </c>
      <c r="P234" s="161" t="s">
        <v>926</v>
      </c>
      <c r="Q234" s="68"/>
      <c r="R234" s="68"/>
      <c r="S234" s="78">
        <v>4</v>
      </c>
      <c r="T234" s="79">
        <v>5</v>
      </c>
      <c r="U234" s="66" t="s">
        <v>29</v>
      </c>
    </row>
    <row r="235" spans="1:21" ht="13.2" x14ac:dyDescent="0.25">
      <c r="A235" s="67"/>
      <c r="B235" s="66"/>
      <c r="C235" s="68" t="s">
        <v>927</v>
      </c>
      <c r="D235" s="161" t="s">
        <v>928</v>
      </c>
      <c r="E235" s="68"/>
      <c r="F235" s="68"/>
      <c r="G235" s="78">
        <v>3</v>
      </c>
      <c r="H235" s="79">
        <v>6</v>
      </c>
      <c r="I235" s="66" t="s">
        <v>29</v>
      </c>
      <c r="J235" s="66"/>
      <c r="K235" s="66"/>
      <c r="L235" s="66"/>
      <c r="M235" s="74"/>
      <c r="N235" s="66"/>
      <c r="O235" s="68" t="s">
        <v>929</v>
      </c>
      <c r="P235" s="161" t="s">
        <v>930</v>
      </c>
      <c r="Q235" s="68"/>
      <c r="R235" s="68"/>
      <c r="S235" s="78">
        <v>3</v>
      </c>
      <c r="T235" s="79">
        <v>6</v>
      </c>
      <c r="U235" s="66" t="s">
        <v>29</v>
      </c>
    </row>
    <row r="236" spans="1:21" ht="13.2" x14ac:dyDescent="0.25">
      <c r="A236" s="67"/>
      <c r="B236" s="66"/>
      <c r="C236" s="68" t="s">
        <v>931</v>
      </c>
      <c r="D236" s="161" t="s">
        <v>932</v>
      </c>
      <c r="E236" s="68"/>
      <c r="F236" s="68"/>
      <c r="G236" s="78">
        <v>4</v>
      </c>
      <c r="H236" s="79">
        <v>5</v>
      </c>
      <c r="I236" s="66" t="s">
        <v>29</v>
      </c>
      <c r="J236" s="66"/>
      <c r="K236" s="66"/>
      <c r="L236" s="66"/>
      <c r="M236" s="74"/>
      <c r="N236" s="66"/>
      <c r="O236" s="68" t="s">
        <v>933</v>
      </c>
      <c r="P236" s="161" t="s">
        <v>934</v>
      </c>
      <c r="Q236" s="68"/>
      <c r="R236" s="68"/>
      <c r="S236" s="78">
        <v>3</v>
      </c>
      <c r="T236" s="79">
        <v>6</v>
      </c>
      <c r="U236" s="66" t="s">
        <v>29</v>
      </c>
    </row>
    <row r="237" spans="1:21" ht="13.2" x14ac:dyDescent="0.25">
      <c r="A237" s="67"/>
      <c r="B237" s="66"/>
      <c r="C237" s="80"/>
      <c r="D237" s="162" t="s">
        <v>935</v>
      </c>
      <c r="E237" s="162"/>
      <c r="F237" s="162"/>
      <c r="G237" s="72">
        <v>16</v>
      </c>
      <c r="H237" s="73">
        <v>20</v>
      </c>
      <c r="I237" s="66" t="s">
        <v>29</v>
      </c>
      <c r="J237" s="66"/>
      <c r="K237" s="66"/>
      <c r="L237" s="66"/>
      <c r="M237" s="74"/>
      <c r="N237" s="66"/>
      <c r="O237" s="80"/>
      <c r="P237" s="162" t="s">
        <v>935</v>
      </c>
      <c r="Q237" s="162"/>
      <c r="R237" s="162"/>
      <c r="S237" s="72">
        <v>11</v>
      </c>
      <c r="T237" s="73">
        <v>25</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13.2" x14ac:dyDescent="0.25">
      <c r="A242" s="67" t="s">
        <v>919</v>
      </c>
      <c r="B242" s="84"/>
      <c r="C242" s="92">
        <v>1</v>
      </c>
      <c r="D242" s="93" t="s">
        <v>1541</v>
      </c>
      <c r="E242" s="94" t="s">
        <v>819</v>
      </c>
      <c r="F242" s="92" t="s">
        <v>1540</v>
      </c>
      <c r="G242" s="92" t="s">
        <v>29</v>
      </c>
      <c r="H242" s="92">
        <v>5</v>
      </c>
      <c r="I242" s="115" t="s">
        <v>29</v>
      </c>
      <c r="J242" s="89"/>
      <c r="K242" s="89"/>
      <c r="L242" s="89"/>
      <c r="M242" s="96" t="s">
        <v>921</v>
      </c>
      <c r="N242" s="84"/>
      <c r="O242" s="92">
        <v>1</v>
      </c>
      <c r="P242" s="93" t="s">
        <v>1542</v>
      </c>
      <c r="Q242" s="94" t="s">
        <v>820</v>
      </c>
      <c r="R242" s="92" t="s">
        <v>1540</v>
      </c>
      <c r="S242" s="92" t="s">
        <v>29</v>
      </c>
      <c r="T242" s="92">
        <v>5</v>
      </c>
      <c r="U242" s="115" t="s">
        <v>29</v>
      </c>
    </row>
    <row r="243" spans="1:21" ht="13.2" x14ac:dyDescent="0.25">
      <c r="A243" s="67" t="s">
        <v>919</v>
      </c>
      <c r="B243" s="84"/>
      <c r="C243" s="92">
        <v>2</v>
      </c>
      <c r="D243" s="93" t="s">
        <v>1543</v>
      </c>
      <c r="E243" s="97" t="s">
        <v>817</v>
      </c>
      <c r="F243" s="92" t="s">
        <v>1540</v>
      </c>
      <c r="G243" s="92" t="s">
        <v>29</v>
      </c>
      <c r="H243" s="92">
        <v>3</v>
      </c>
      <c r="I243" s="115" t="s">
        <v>29</v>
      </c>
      <c r="J243" s="89"/>
      <c r="K243" s="89"/>
      <c r="L243" s="89"/>
      <c r="M243" s="96" t="s">
        <v>921</v>
      </c>
      <c r="N243" s="84"/>
      <c r="O243" s="92">
        <v>2</v>
      </c>
      <c r="P243" s="93" t="s">
        <v>1544</v>
      </c>
      <c r="Q243" s="97" t="s">
        <v>821</v>
      </c>
      <c r="R243" s="92" t="s">
        <v>1540</v>
      </c>
      <c r="S243" s="92" t="s">
        <v>29</v>
      </c>
      <c r="T243" s="92">
        <v>3</v>
      </c>
      <c r="U243" s="115" t="s">
        <v>29</v>
      </c>
    </row>
    <row r="244" spans="1:21" ht="13.2" x14ac:dyDescent="0.25">
      <c r="A244" s="67" t="s">
        <v>919</v>
      </c>
      <c r="B244" s="84"/>
      <c r="C244" s="92">
        <v>3</v>
      </c>
      <c r="D244" s="93" t="s">
        <v>1545</v>
      </c>
      <c r="E244" s="97" t="s">
        <v>289</v>
      </c>
      <c r="F244" s="92" t="s">
        <v>1539</v>
      </c>
      <c r="G244" s="92">
        <v>1</v>
      </c>
      <c r="H244" s="92" t="s">
        <v>29</v>
      </c>
      <c r="I244" s="115" t="s">
        <v>29</v>
      </c>
      <c r="J244" s="89"/>
      <c r="K244" s="89"/>
      <c r="L244" s="89"/>
      <c r="M244" s="96" t="s">
        <v>921</v>
      </c>
      <c r="N244" s="84"/>
      <c r="O244" s="92">
        <v>3</v>
      </c>
      <c r="P244" s="93" t="s">
        <v>1546</v>
      </c>
      <c r="Q244" s="97" t="s">
        <v>297</v>
      </c>
      <c r="R244" s="92" t="s">
        <v>1539</v>
      </c>
      <c r="S244" s="92">
        <v>1</v>
      </c>
      <c r="T244" s="92" t="s">
        <v>29</v>
      </c>
      <c r="U244" s="115" t="s">
        <v>29</v>
      </c>
    </row>
    <row r="245" spans="1:21" ht="13.2" x14ac:dyDescent="0.25">
      <c r="A245" s="67" t="s">
        <v>919</v>
      </c>
      <c r="B245" s="84"/>
      <c r="C245" s="92">
        <v>4</v>
      </c>
      <c r="D245" s="93" t="s">
        <v>1547</v>
      </c>
      <c r="E245" s="97" t="s">
        <v>818</v>
      </c>
      <c r="F245" s="92" t="s">
        <v>1540</v>
      </c>
      <c r="G245" s="92" t="s">
        <v>29</v>
      </c>
      <c r="H245" s="92" t="s">
        <v>29</v>
      </c>
      <c r="I245" s="115" t="s">
        <v>29</v>
      </c>
      <c r="J245" s="89"/>
      <c r="K245" s="89"/>
      <c r="L245" s="89"/>
      <c r="M245" s="96" t="s">
        <v>921</v>
      </c>
      <c r="N245" s="84"/>
      <c r="O245" s="92">
        <v>4</v>
      </c>
      <c r="P245" s="93" t="s">
        <v>1548</v>
      </c>
      <c r="Q245" s="97" t="s">
        <v>299</v>
      </c>
      <c r="R245" s="92" t="s">
        <v>1539</v>
      </c>
      <c r="S245" s="92" t="s">
        <v>29</v>
      </c>
      <c r="T245" s="92" t="s">
        <v>29</v>
      </c>
      <c r="U245" s="115" t="s">
        <v>29</v>
      </c>
    </row>
    <row r="246" spans="1:21" ht="13.2" x14ac:dyDescent="0.25">
      <c r="A246" s="67" t="s">
        <v>919</v>
      </c>
      <c r="B246" s="84"/>
      <c r="C246" s="92">
        <v>5</v>
      </c>
      <c r="D246" s="93" t="s">
        <v>1549</v>
      </c>
      <c r="E246" s="97" t="s">
        <v>292</v>
      </c>
      <c r="F246" s="92" t="s">
        <v>1539</v>
      </c>
      <c r="G246" s="92" t="s">
        <v>29</v>
      </c>
      <c r="H246" s="92" t="s">
        <v>29</v>
      </c>
      <c r="I246" s="115" t="s">
        <v>29</v>
      </c>
      <c r="J246" s="89"/>
      <c r="K246" s="89"/>
      <c r="L246" s="89"/>
      <c r="M246" s="96" t="s">
        <v>921</v>
      </c>
      <c r="N246" s="84"/>
      <c r="O246" s="92">
        <v>5</v>
      </c>
      <c r="P246" s="93" t="s">
        <v>1550</v>
      </c>
      <c r="Q246" s="97" t="s">
        <v>300</v>
      </c>
      <c r="R246" s="92" t="s">
        <v>1539</v>
      </c>
      <c r="S246" s="92" t="s">
        <v>29</v>
      </c>
      <c r="T246" s="92" t="s">
        <v>29</v>
      </c>
      <c r="U246" s="115" t="s">
        <v>29</v>
      </c>
    </row>
    <row r="247" spans="1:21" ht="13.2" x14ac:dyDescent="0.25">
      <c r="A247" s="67" t="s">
        <v>919</v>
      </c>
      <c r="B247" s="84"/>
      <c r="C247" s="92">
        <v>6</v>
      </c>
      <c r="D247" s="93" t="s">
        <v>1551</v>
      </c>
      <c r="E247" s="97" t="s">
        <v>650</v>
      </c>
      <c r="F247" s="92" t="s">
        <v>1540</v>
      </c>
      <c r="G247" s="92" t="s">
        <v>29</v>
      </c>
      <c r="H247" s="92" t="s">
        <v>29</v>
      </c>
      <c r="I247" s="115" t="s">
        <v>29</v>
      </c>
      <c r="J247" s="89"/>
      <c r="K247" s="89"/>
      <c r="L247" s="89"/>
      <c r="M247" s="96" t="s">
        <v>921</v>
      </c>
      <c r="N247" s="84"/>
      <c r="O247" s="92">
        <v>6</v>
      </c>
      <c r="P247" s="93" t="s">
        <v>1552</v>
      </c>
      <c r="Q247" s="97" t="s">
        <v>296</v>
      </c>
      <c r="R247" s="92" t="s">
        <v>1539</v>
      </c>
      <c r="S247" s="92" t="s">
        <v>29</v>
      </c>
      <c r="T247" s="92" t="s">
        <v>29</v>
      </c>
      <c r="U247" s="115" t="s">
        <v>29</v>
      </c>
    </row>
    <row r="248" spans="1:21" ht="13.2" x14ac:dyDescent="0.25">
      <c r="A248" s="67" t="s">
        <v>919</v>
      </c>
      <c r="B248" s="84"/>
      <c r="C248" s="92">
        <v>7</v>
      </c>
      <c r="D248" s="93" t="s">
        <v>1553</v>
      </c>
      <c r="E248" s="97" t="s">
        <v>291</v>
      </c>
      <c r="F248" s="92" t="s">
        <v>1539</v>
      </c>
      <c r="G248" s="92" t="s">
        <v>29</v>
      </c>
      <c r="H248" s="92" t="s">
        <v>29</v>
      </c>
      <c r="I248" s="115" t="s">
        <v>29</v>
      </c>
      <c r="J248" s="89"/>
      <c r="K248" s="89"/>
      <c r="L248" s="89"/>
      <c r="M248" s="96" t="s">
        <v>921</v>
      </c>
      <c r="N248" s="84"/>
      <c r="O248" s="92">
        <v>7</v>
      </c>
      <c r="P248" s="93" t="s">
        <v>1554</v>
      </c>
      <c r="Q248" s="97" t="s">
        <v>298</v>
      </c>
      <c r="R248" s="92" t="s">
        <v>1539</v>
      </c>
      <c r="S248" s="92" t="s">
        <v>29</v>
      </c>
      <c r="T248" s="92" t="s">
        <v>29</v>
      </c>
      <c r="U248" s="115" t="s">
        <v>29</v>
      </c>
    </row>
    <row r="249" spans="1:21" ht="13.2" x14ac:dyDescent="0.25">
      <c r="A249" s="67" t="s">
        <v>919</v>
      </c>
      <c r="B249" s="84"/>
      <c r="C249" s="92">
        <v>8</v>
      </c>
      <c r="D249" s="98" t="s">
        <v>1555</v>
      </c>
      <c r="E249" s="97" t="s">
        <v>287</v>
      </c>
      <c r="F249" s="92" t="s">
        <v>1539</v>
      </c>
      <c r="G249" s="92" t="s">
        <v>29</v>
      </c>
      <c r="H249" s="92" t="s">
        <v>29</v>
      </c>
      <c r="I249" s="115" t="s">
        <v>29</v>
      </c>
      <c r="J249" s="89"/>
      <c r="K249" s="89"/>
      <c r="L249" s="89"/>
      <c r="M249" s="96" t="s">
        <v>921</v>
      </c>
      <c r="N249" s="84"/>
      <c r="O249" s="92">
        <v>8</v>
      </c>
      <c r="P249" s="93" t="s">
        <v>1556</v>
      </c>
      <c r="Q249" s="97" t="s">
        <v>91</v>
      </c>
      <c r="R249" s="92" t="s">
        <v>1540</v>
      </c>
      <c r="S249" s="92" t="s">
        <v>29</v>
      </c>
      <c r="T249" s="92" t="s">
        <v>29</v>
      </c>
      <c r="U249" s="115" t="s">
        <v>29</v>
      </c>
    </row>
    <row r="250" spans="1:21" ht="13.2" x14ac:dyDescent="0.25">
      <c r="A250" s="67" t="s">
        <v>919</v>
      </c>
      <c r="B250" s="84"/>
      <c r="C250" s="92">
        <v>9</v>
      </c>
      <c r="D250" s="98" t="s">
        <v>1557</v>
      </c>
      <c r="E250" s="97" t="s">
        <v>288</v>
      </c>
      <c r="F250" s="92" t="s">
        <v>1539</v>
      </c>
      <c r="G250" s="92" t="s">
        <v>29</v>
      </c>
      <c r="H250" s="92" t="s">
        <v>29</v>
      </c>
      <c r="I250" s="115" t="s">
        <v>29</v>
      </c>
      <c r="J250" s="89"/>
      <c r="K250" s="89"/>
      <c r="L250" s="89"/>
      <c r="M250" s="96" t="s">
        <v>921</v>
      </c>
      <c r="N250" s="84"/>
      <c r="O250" s="92">
        <v>9</v>
      </c>
      <c r="P250" s="93" t="s">
        <v>1558</v>
      </c>
      <c r="Q250" s="97" t="s">
        <v>301</v>
      </c>
      <c r="R250" s="92" t="s">
        <v>1539</v>
      </c>
      <c r="S250" s="92" t="s">
        <v>29</v>
      </c>
      <c r="T250" s="92" t="s">
        <v>29</v>
      </c>
      <c r="U250" s="115" t="s">
        <v>29</v>
      </c>
    </row>
    <row r="251" spans="1:21" ht="13.2" x14ac:dyDescent="0.25">
      <c r="A251" s="67" t="s">
        <v>919</v>
      </c>
      <c r="B251" s="84"/>
      <c r="C251" s="92">
        <v>10</v>
      </c>
      <c r="D251" s="98" t="s">
        <v>1559</v>
      </c>
      <c r="E251" s="97" t="s">
        <v>293</v>
      </c>
      <c r="F251" s="92" t="s">
        <v>1539</v>
      </c>
      <c r="G251" s="92" t="s">
        <v>29</v>
      </c>
      <c r="H251" s="92" t="s">
        <v>29</v>
      </c>
      <c r="I251" s="115" t="s">
        <v>29</v>
      </c>
      <c r="J251" s="89"/>
      <c r="K251" s="89"/>
      <c r="L251" s="89"/>
      <c r="M251" s="96" t="s">
        <v>921</v>
      </c>
      <c r="N251" s="84"/>
      <c r="O251" s="92">
        <v>10</v>
      </c>
      <c r="P251" s="93" t="s">
        <v>1560</v>
      </c>
      <c r="Q251" s="97" t="s">
        <v>295</v>
      </c>
      <c r="R251" s="92" t="s">
        <v>1539</v>
      </c>
      <c r="S251" s="92" t="s">
        <v>29</v>
      </c>
      <c r="T251" s="92" t="s">
        <v>29</v>
      </c>
      <c r="U251" s="115" t="s">
        <v>29</v>
      </c>
    </row>
    <row r="252" spans="1:21" ht="13.2" x14ac:dyDescent="0.25">
      <c r="A252" s="67" t="s">
        <v>919</v>
      </c>
      <c r="B252" s="84"/>
      <c r="C252" s="92">
        <v>11</v>
      </c>
      <c r="D252" s="98" t="s">
        <v>1561</v>
      </c>
      <c r="E252" s="97" t="s">
        <v>290</v>
      </c>
      <c r="F252" s="92" t="s">
        <v>1539</v>
      </c>
      <c r="G252" s="92" t="s">
        <v>29</v>
      </c>
      <c r="H252" s="92" t="s">
        <v>29</v>
      </c>
      <c r="I252" s="115" t="s">
        <v>29</v>
      </c>
      <c r="J252" s="89"/>
      <c r="K252" s="89"/>
      <c r="L252" s="89"/>
      <c r="M252" s="96" t="s">
        <v>921</v>
      </c>
      <c r="N252" s="84"/>
      <c r="O252" s="92">
        <v>11</v>
      </c>
      <c r="P252" s="93" t="s">
        <v>1562</v>
      </c>
      <c r="Q252" s="97" t="s">
        <v>294</v>
      </c>
      <c r="R252" s="92" t="s">
        <v>1539</v>
      </c>
      <c r="S252" s="92" t="s">
        <v>29</v>
      </c>
      <c r="T252" s="92" t="s">
        <v>29</v>
      </c>
      <c r="U252" s="115" t="s">
        <v>29</v>
      </c>
    </row>
    <row r="253" spans="1:21" ht="13.2" x14ac:dyDescent="0.25">
      <c r="A253" s="67" t="s">
        <v>29</v>
      </c>
      <c r="B253" s="84"/>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76"/>
      <c r="E267" s="276"/>
      <c r="F267" s="276"/>
      <c r="G267" s="99">
        <v>1</v>
      </c>
      <c r="H267" s="99">
        <v>8</v>
      </c>
      <c r="I267" s="115" t="s">
        <v>29</v>
      </c>
      <c r="J267" s="89"/>
      <c r="K267" s="89"/>
      <c r="L267" s="89"/>
      <c r="M267" s="96" t="s">
        <v>29</v>
      </c>
      <c r="N267" s="84"/>
      <c r="O267" s="219" t="s">
        <v>955</v>
      </c>
      <c r="P267" s="276"/>
      <c r="Q267" s="276"/>
      <c r="R267" s="276"/>
      <c r="S267" s="99">
        <v>1</v>
      </c>
      <c r="T267" s="99">
        <v>8</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08"/>
      <c r="C271" s="92">
        <v>1</v>
      </c>
      <c r="D271" s="93" t="s">
        <v>1563</v>
      </c>
      <c r="E271" s="94" t="s">
        <v>307</v>
      </c>
      <c r="F271" s="92" t="s">
        <v>1539</v>
      </c>
      <c r="G271" s="92">
        <v>5</v>
      </c>
      <c r="H271" s="92" t="s">
        <v>29</v>
      </c>
      <c r="I271" s="116" t="s">
        <v>29</v>
      </c>
      <c r="J271" s="89"/>
      <c r="K271" s="89"/>
      <c r="L271" s="89"/>
      <c r="M271" s="96" t="s">
        <v>925</v>
      </c>
      <c r="N271" s="108"/>
      <c r="O271" s="92">
        <v>1</v>
      </c>
      <c r="P271" s="93" t="s">
        <v>1564</v>
      </c>
      <c r="Q271" s="94" t="s">
        <v>822</v>
      </c>
      <c r="R271" s="92" t="s">
        <v>1540</v>
      </c>
      <c r="S271" s="92" t="s">
        <v>29</v>
      </c>
      <c r="T271" s="92">
        <v>5</v>
      </c>
      <c r="U271" s="116" t="s">
        <v>64</v>
      </c>
    </row>
    <row r="272" spans="1:21" ht="13.2" x14ac:dyDescent="0.25">
      <c r="A272" s="67" t="s">
        <v>923</v>
      </c>
      <c r="B272" s="108"/>
      <c r="C272" s="92">
        <v>2</v>
      </c>
      <c r="D272" s="93" t="s">
        <v>1565</v>
      </c>
      <c r="E272" s="97" t="s">
        <v>306</v>
      </c>
      <c r="F272" s="92" t="s">
        <v>1539</v>
      </c>
      <c r="G272" s="92">
        <v>3</v>
      </c>
      <c r="H272" s="92" t="s">
        <v>29</v>
      </c>
      <c r="I272" s="116" t="s">
        <v>29</v>
      </c>
      <c r="J272" s="89"/>
      <c r="K272" s="89"/>
      <c r="L272" s="89"/>
      <c r="M272" s="96" t="s">
        <v>925</v>
      </c>
      <c r="N272" s="108"/>
      <c r="O272" s="92">
        <v>2</v>
      </c>
      <c r="P272" s="93" t="s">
        <v>1566</v>
      </c>
      <c r="Q272" s="97" t="s">
        <v>311</v>
      </c>
      <c r="R272" s="92" t="s">
        <v>1539</v>
      </c>
      <c r="S272" s="92">
        <v>3</v>
      </c>
      <c r="T272" s="92" t="s">
        <v>29</v>
      </c>
      <c r="U272" s="116" t="s">
        <v>29</v>
      </c>
    </row>
    <row r="273" spans="1:21" ht="13.2" x14ac:dyDescent="0.25">
      <c r="A273" s="67" t="s">
        <v>923</v>
      </c>
      <c r="B273" s="108"/>
      <c r="C273" s="92">
        <v>3</v>
      </c>
      <c r="D273" s="93" t="s">
        <v>1567</v>
      </c>
      <c r="E273" s="97" t="s">
        <v>828</v>
      </c>
      <c r="F273" s="92" t="s">
        <v>1540</v>
      </c>
      <c r="G273" s="92" t="s">
        <v>29</v>
      </c>
      <c r="H273" s="92">
        <v>1</v>
      </c>
      <c r="I273" s="116" t="s">
        <v>29</v>
      </c>
      <c r="J273" s="89"/>
      <c r="K273" s="89"/>
      <c r="L273" s="89"/>
      <c r="M273" s="96" t="s">
        <v>925</v>
      </c>
      <c r="N273" s="108"/>
      <c r="O273" s="92">
        <v>3</v>
      </c>
      <c r="P273" s="93" t="s">
        <v>1568</v>
      </c>
      <c r="Q273" s="97" t="s">
        <v>62</v>
      </c>
      <c r="R273" s="92" t="s">
        <v>1539</v>
      </c>
      <c r="S273" s="92">
        <v>1</v>
      </c>
      <c r="T273" s="92" t="s">
        <v>29</v>
      </c>
      <c r="U273" s="116" t="s">
        <v>29</v>
      </c>
    </row>
    <row r="274" spans="1:21" ht="13.2" x14ac:dyDescent="0.25">
      <c r="A274" s="67" t="s">
        <v>923</v>
      </c>
      <c r="B274" s="108"/>
      <c r="C274" s="92">
        <v>4</v>
      </c>
      <c r="D274" s="93" t="s">
        <v>1569</v>
      </c>
      <c r="E274" s="97" t="s">
        <v>309</v>
      </c>
      <c r="F274" s="92" t="s">
        <v>1539</v>
      </c>
      <c r="G274" s="92" t="s">
        <v>29</v>
      </c>
      <c r="H274" s="92" t="s">
        <v>29</v>
      </c>
      <c r="I274" s="116" t="s">
        <v>29</v>
      </c>
      <c r="J274" s="89"/>
      <c r="K274" s="89"/>
      <c r="L274" s="89"/>
      <c r="M274" s="96" t="s">
        <v>925</v>
      </c>
      <c r="N274" s="108"/>
      <c r="O274" s="92">
        <v>4</v>
      </c>
      <c r="P274" s="93" t="s">
        <v>1570</v>
      </c>
      <c r="Q274" s="97" t="s">
        <v>302</v>
      </c>
      <c r="R274" s="92" t="s">
        <v>1539</v>
      </c>
      <c r="S274" s="92" t="s">
        <v>29</v>
      </c>
      <c r="T274" s="92" t="s">
        <v>29</v>
      </c>
      <c r="U274" s="116" t="s">
        <v>64</v>
      </c>
    </row>
    <row r="275" spans="1:21" ht="13.2" x14ac:dyDescent="0.25">
      <c r="A275" s="67" t="s">
        <v>923</v>
      </c>
      <c r="B275" s="108"/>
      <c r="C275" s="92">
        <v>5</v>
      </c>
      <c r="D275" s="93" t="s">
        <v>1571</v>
      </c>
      <c r="E275" s="97" t="s">
        <v>829</v>
      </c>
      <c r="F275" s="92" t="s">
        <v>1540</v>
      </c>
      <c r="G275" s="92" t="s">
        <v>29</v>
      </c>
      <c r="H275" s="92" t="s">
        <v>29</v>
      </c>
      <c r="I275" s="116" t="s">
        <v>29</v>
      </c>
      <c r="J275" s="89"/>
      <c r="K275" s="89"/>
      <c r="L275" s="89"/>
      <c r="M275" s="96" t="s">
        <v>29</v>
      </c>
      <c r="N275" s="108"/>
      <c r="O275" s="92" t="s">
        <v>29</v>
      </c>
      <c r="P275" s="93" t="s">
        <v>29</v>
      </c>
      <c r="Q275" s="97" t="s">
        <v>29</v>
      </c>
      <c r="R275" s="92" t="s">
        <v>29</v>
      </c>
      <c r="S275" s="92" t="s">
        <v>29</v>
      </c>
      <c r="T275" s="92" t="s">
        <v>29</v>
      </c>
      <c r="U275" s="116" t="s">
        <v>29</v>
      </c>
    </row>
    <row r="276" spans="1:21" ht="13.2" x14ac:dyDescent="0.25">
      <c r="A276" s="67" t="s">
        <v>923</v>
      </c>
      <c r="B276" s="108"/>
      <c r="C276" s="92">
        <v>6</v>
      </c>
      <c r="D276" s="93" t="s">
        <v>1572</v>
      </c>
      <c r="E276" s="97" t="s">
        <v>308</v>
      </c>
      <c r="F276" s="92" t="s">
        <v>1539</v>
      </c>
      <c r="G276" s="92" t="s">
        <v>29</v>
      </c>
      <c r="H276" s="92" t="s">
        <v>29</v>
      </c>
      <c r="I276" s="116" t="s">
        <v>29</v>
      </c>
      <c r="J276" s="89"/>
      <c r="K276" s="89"/>
      <c r="L276" s="89"/>
      <c r="M276" s="96" t="s">
        <v>29</v>
      </c>
      <c r="N276" s="108"/>
      <c r="O276" s="92" t="s">
        <v>29</v>
      </c>
      <c r="P276" s="93" t="s">
        <v>29</v>
      </c>
      <c r="Q276" s="97" t="s">
        <v>29</v>
      </c>
      <c r="R276" s="92" t="s">
        <v>29</v>
      </c>
      <c r="S276" s="92" t="s">
        <v>29</v>
      </c>
      <c r="T276" s="92" t="s">
        <v>29</v>
      </c>
      <c r="U276" s="116" t="s">
        <v>29</v>
      </c>
    </row>
    <row r="277" spans="1:21" ht="13.2" x14ac:dyDescent="0.25">
      <c r="A277" s="67" t="s">
        <v>923</v>
      </c>
      <c r="B277" s="108"/>
      <c r="C277" s="92">
        <v>7</v>
      </c>
      <c r="D277" s="93" t="s">
        <v>1573</v>
      </c>
      <c r="E277" s="97" t="s">
        <v>310</v>
      </c>
      <c r="F277" s="92" t="s">
        <v>1539</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76"/>
      <c r="E286" s="276"/>
      <c r="F286" s="296"/>
      <c r="G286" s="99">
        <v>8</v>
      </c>
      <c r="H286" s="99">
        <v>1</v>
      </c>
      <c r="I286" s="116" t="s">
        <v>29</v>
      </c>
      <c r="J286" s="89"/>
      <c r="K286" s="89"/>
      <c r="L286" s="89"/>
      <c r="M286" s="96" t="s">
        <v>29</v>
      </c>
      <c r="N286" s="108"/>
      <c r="O286" s="219" t="s">
        <v>972</v>
      </c>
      <c r="P286" s="276"/>
      <c r="Q286" s="276"/>
      <c r="R286" s="296"/>
      <c r="S286" s="99">
        <v>4</v>
      </c>
      <c r="T286" s="99">
        <v>5</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1574</v>
      </c>
      <c r="E290" s="94" t="s">
        <v>313</v>
      </c>
      <c r="F290" s="92" t="s">
        <v>1540</v>
      </c>
      <c r="G290" s="92" t="s">
        <v>29</v>
      </c>
      <c r="H290" s="92">
        <v>5</v>
      </c>
      <c r="I290" s="115" t="s">
        <v>29</v>
      </c>
      <c r="J290" s="89"/>
      <c r="K290" s="89"/>
      <c r="L290" s="89"/>
      <c r="M290" s="96" t="s">
        <v>929</v>
      </c>
      <c r="N290" s="84"/>
      <c r="O290" s="92">
        <v>1</v>
      </c>
      <c r="P290" s="93" t="s">
        <v>1575</v>
      </c>
      <c r="Q290" s="94" t="s">
        <v>824</v>
      </c>
      <c r="R290" s="92" t="s">
        <v>1540</v>
      </c>
      <c r="S290" s="92" t="s">
        <v>29</v>
      </c>
      <c r="T290" s="92">
        <v>5</v>
      </c>
      <c r="U290" s="115" t="s">
        <v>29</v>
      </c>
    </row>
    <row r="291" spans="1:21" ht="13.2" x14ac:dyDescent="0.25">
      <c r="A291" s="67" t="s">
        <v>927</v>
      </c>
      <c r="B291" s="84"/>
      <c r="C291" s="92">
        <v>2</v>
      </c>
      <c r="D291" s="93" t="s">
        <v>1576</v>
      </c>
      <c r="E291" s="97" t="s">
        <v>304</v>
      </c>
      <c r="F291" s="92" t="s">
        <v>1539</v>
      </c>
      <c r="G291" s="92">
        <v>3</v>
      </c>
      <c r="H291" s="92" t="s">
        <v>29</v>
      </c>
      <c r="I291" s="115" t="s">
        <v>29</v>
      </c>
      <c r="J291" s="89"/>
      <c r="K291" s="89"/>
      <c r="L291" s="89"/>
      <c r="M291" s="96" t="s">
        <v>929</v>
      </c>
      <c r="N291" s="84"/>
      <c r="O291" s="92">
        <v>2</v>
      </c>
      <c r="P291" s="93" t="s">
        <v>1577</v>
      </c>
      <c r="Q291" s="97" t="s">
        <v>305</v>
      </c>
      <c r="R291" s="92" t="s">
        <v>1539</v>
      </c>
      <c r="S291" s="92">
        <v>3</v>
      </c>
      <c r="T291" s="92" t="s">
        <v>29</v>
      </c>
      <c r="U291" s="115" t="s">
        <v>29</v>
      </c>
    </row>
    <row r="292" spans="1:21" ht="13.2" x14ac:dyDescent="0.25">
      <c r="A292" s="67" t="s">
        <v>927</v>
      </c>
      <c r="B292" s="84"/>
      <c r="C292" s="92">
        <v>3</v>
      </c>
      <c r="D292" s="93" t="s">
        <v>1578</v>
      </c>
      <c r="E292" s="97" t="s">
        <v>823</v>
      </c>
      <c r="F292" s="92" t="s">
        <v>1540</v>
      </c>
      <c r="G292" s="92" t="s">
        <v>29</v>
      </c>
      <c r="H292" s="92">
        <v>1</v>
      </c>
      <c r="I292" s="115" t="s">
        <v>29</v>
      </c>
      <c r="J292" s="89"/>
      <c r="K292" s="89"/>
      <c r="L292" s="89"/>
      <c r="M292" s="96" t="s">
        <v>929</v>
      </c>
      <c r="N292" s="84"/>
      <c r="O292" s="92">
        <v>3</v>
      </c>
      <c r="P292" s="93" t="s">
        <v>1579</v>
      </c>
      <c r="Q292" s="97" t="s">
        <v>826</v>
      </c>
      <c r="R292" s="92" t="s">
        <v>1540</v>
      </c>
      <c r="S292" s="92" t="s">
        <v>29</v>
      </c>
      <c r="T292" s="92">
        <v>1</v>
      </c>
      <c r="U292" s="115" t="s">
        <v>29</v>
      </c>
    </row>
    <row r="293" spans="1:21" ht="13.2" x14ac:dyDescent="0.25">
      <c r="A293" s="67" t="s">
        <v>927</v>
      </c>
      <c r="B293" s="84"/>
      <c r="C293" s="92">
        <v>4</v>
      </c>
      <c r="D293" s="93" t="s">
        <v>1580</v>
      </c>
      <c r="E293" s="97" t="s">
        <v>303</v>
      </c>
      <c r="F293" s="92" t="s">
        <v>1539</v>
      </c>
      <c r="G293" s="92" t="s">
        <v>29</v>
      </c>
      <c r="H293" s="92" t="s">
        <v>29</v>
      </c>
      <c r="I293" s="115" t="s">
        <v>29</v>
      </c>
      <c r="J293" s="89"/>
      <c r="K293" s="89"/>
      <c r="L293" s="89"/>
      <c r="M293" s="96" t="s">
        <v>929</v>
      </c>
      <c r="N293" s="84"/>
      <c r="O293" s="92">
        <v>4</v>
      </c>
      <c r="P293" s="93" t="s">
        <v>1581</v>
      </c>
      <c r="Q293" s="97" t="s">
        <v>827</v>
      </c>
      <c r="R293" s="92" t="s">
        <v>1540</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929</v>
      </c>
      <c r="N294" s="84"/>
      <c r="O294" s="92">
        <v>5</v>
      </c>
      <c r="P294" s="93" t="s">
        <v>1582</v>
      </c>
      <c r="Q294" s="97" t="s">
        <v>825</v>
      </c>
      <c r="R294" s="92" t="s">
        <v>1540</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76"/>
      <c r="E305" s="276"/>
      <c r="F305" s="276"/>
      <c r="G305" s="99">
        <v>3</v>
      </c>
      <c r="H305" s="99">
        <v>6</v>
      </c>
      <c r="I305" s="115" t="s">
        <v>29</v>
      </c>
      <c r="J305" s="89"/>
      <c r="K305" s="89"/>
      <c r="L305" s="89"/>
      <c r="M305" s="96" t="s">
        <v>29</v>
      </c>
      <c r="N305" s="84"/>
      <c r="O305" s="219" t="s">
        <v>985</v>
      </c>
      <c r="P305" s="276"/>
      <c r="Q305" s="276"/>
      <c r="R305" s="276"/>
      <c r="S305" s="99">
        <v>3</v>
      </c>
      <c r="T305" s="99">
        <v>6</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1583</v>
      </c>
      <c r="E309" s="94" t="s">
        <v>830</v>
      </c>
      <c r="F309" s="92" t="s">
        <v>1540</v>
      </c>
      <c r="G309" s="92" t="s">
        <v>29</v>
      </c>
      <c r="H309" s="92">
        <v>5</v>
      </c>
      <c r="I309" s="116" t="s">
        <v>29</v>
      </c>
      <c r="J309" s="89"/>
      <c r="K309" s="89"/>
      <c r="L309" s="89"/>
      <c r="M309" s="96" t="s">
        <v>933</v>
      </c>
      <c r="N309" s="108"/>
      <c r="O309" s="92">
        <v>1</v>
      </c>
      <c r="P309" s="93" t="s">
        <v>1584</v>
      </c>
      <c r="Q309" s="94" t="s">
        <v>831</v>
      </c>
      <c r="R309" s="92" t="s">
        <v>1540</v>
      </c>
      <c r="S309" s="92" t="s">
        <v>29</v>
      </c>
      <c r="T309" s="92">
        <v>5</v>
      </c>
      <c r="U309" s="116" t="s">
        <v>29</v>
      </c>
    </row>
    <row r="310" spans="1:21" ht="13.2" x14ac:dyDescent="0.25">
      <c r="A310" s="67" t="s">
        <v>931</v>
      </c>
      <c r="B310" s="108"/>
      <c r="C310" s="92">
        <v>2</v>
      </c>
      <c r="D310" s="93" t="s">
        <v>1585</v>
      </c>
      <c r="E310" s="97" t="s">
        <v>312</v>
      </c>
      <c r="F310" s="92" t="s">
        <v>1539</v>
      </c>
      <c r="G310" s="92">
        <v>3</v>
      </c>
      <c r="H310" s="92" t="s">
        <v>29</v>
      </c>
      <c r="I310" s="116" t="s">
        <v>29</v>
      </c>
      <c r="J310" s="89"/>
      <c r="K310" s="89"/>
      <c r="L310" s="89"/>
      <c r="M310" s="96" t="s">
        <v>933</v>
      </c>
      <c r="N310" s="108"/>
      <c r="O310" s="92">
        <v>2</v>
      </c>
      <c r="P310" s="93" t="s">
        <v>1586</v>
      </c>
      <c r="Q310" s="97" t="s">
        <v>313</v>
      </c>
      <c r="R310" s="92" t="s">
        <v>1539</v>
      </c>
      <c r="S310" s="92">
        <v>3</v>
      </c>
      <c r="T310" s="92" t="s">
        <v>29</v>
      </c>
      <c r="U310" s="116" t="s">
        <v>29</v>
      </c>
    </row>
    <row r="311" spans="1:21" ht="13.2" x14ac:dyDescent="0.25">
      <c r="A311" s="67" t="s">
        <v>931</v>
      </c>
      <c r="B311" s="108"/>
      <c r="C311" s="92">
        <v>3</v>
      </c>
      <c r="D311" s="93" t="s">
        <v>1587</v>
      </c>
      <c r="E311" s="97" t="s">
        <v>264</v>
      </c>
      <c r="F311" s="92" t="s">
        <v>1539</v>
      </c>
      <c r="G311" s="92">
        <v>1</v>
      </c>
      <c r="H311" s="92" t="s">
        <v>29</v>
      </c>
      <c r="I311" s="116" t="s">
        <v>29</v>
      </c>
      <c r="J311" s="89"/>
      <c r="K311" s="89"/>
      <c r="L311" s="89"/>
      <c r="M311" s="96" t="s">
        <v>933</v>
      </c>
      <c r="N311" s="108"/>
      <c r="O311" s="92">
        <v>3</v>
      </c>
      <c r="P311" s="93" t="s">
        <v>1588</v>
      </c>
      <c r="Q311" s="97" t="s">
        <v>832</v>
      </c>
      <c r="R311" s="92" t="s">
        <v>1540</v>
      </c>
      <c r="S311" s="92" t="s">
        <v>29</v>
      </c>
      <c r="T311" s="92">
        <v>1</v>
      </c>
      <c r="U311" s="116" t="s">
        <v>29</v>
      </c>
    </row>
    <row r="312" spans="1:21" ht="13.2" x14ac:dyDescent="0.25">
      <c r="A312" s="67" t="s">
        <v>29</v>
      </c>
      <c r="B312" s="108"/>
      <c r="C312" s="92" t="s">
        <v>29</v>
      </c>
      <c r="D312" s="93" t="s">
        <v>29</v>
      </c>
      <c r="E312" s="97" t="s">
        <v>29</v>
      </c>
      <c r="F312" s="92" t="s">
        <v>29</v>
      </c>
      <c r="G312" s="92" t="s">
        <v>29</v>
      </c>
      <c r="H312" s="92" t="s">
        <v>29</v>
      </c>
      <c r="I312" s="116" t="s">
        <v>29</v>
      </c>
      <c r="J312" s="89"/>
      <c r="K312" s="89"/>
      <c r="L312" s="89"/>
      <c r="M312" s="96" t="s">
        <v>933</v>
      </c>
      <c r="N312" s="108"/>
      <c r="O312" s="92">
        <v>4</v>
      </c>
      <c r="P312" s="93" t="s">
        <v>1589</v>
      </c>
      <c r="Q312" s="97" t="s">
        <v>155</v>
      </c>
      <c r="R312" s="92" t="s">
        <v>1540</v>
      </c>
      <c r="S312" s="92" t="s">
        <v>29</v>
      </c>
      <c r="T312" s="92" t="s">
        <v>29</v>
      </c>
      <c r="U312" s="116" t="s">
        <v>29</v>
      </c>
    </row>
    <row r="313" spans="1:21" ht="13.2" x14ac:dyDescent="0.25">
      <c r="A313" s="67" t="s">
        <v>29</v>
      </c>
      <c r="B313" s="108"/>
      <c r="C313" s="92" t="s">
        <v>29</v>
      </c>
      <c r="D313" s="93" t="s">
        <v>29</v>
      </c>
      <c r="E313" s="97" t="s">
        <v>29</v>
      </c>
      <c r="F313" s="92" t="s">
        <v>29</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29</v>
      </c>
      <c r="B314" s="108"/>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76"/>
      <c r="E324" s="276"/>
      <c r="F324" s="276"/>
      <c r="G324" s="99">
        <v>4</v>
      </c>
      <c r="H324" s="99">
        <v>5</v>
      </c>
      <c r="I324" s="116" t="s">
        <v>29</v>
      </c>
      <c r="J324" s="89"/>
      <c r="K324" s="89"/>
      <c r="L324" s="89"/>
      <c r="M324" s="96" t="s">
        <v>29</v>
      </c>
      <c r="N324" s="108"/>
      <c r="O324" s="219" t="s">
        <v>996</v>
      </c>
      <c r="P324" s="276"/>
      <c r="Q324" s="276"/>
      <c r="R324" s="276"/>
      <c r="S324" s="99">
        <v>3</v>
      </c>
      <c r="T324" s="99">
        <v>6</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1590</v>
      </c>
      <c r="R326" s="277"/>
      <c r="S326" s="277"/>
      <c r="T326" s="278"/>
      <c r="U326" s="66" t="s">
        <v>29</v>
      </c>
    </row>
    <row r="327" spans="1:21" ht="13.2" x14ac:dyDescent="0.25">
      <c r="A327" s="67"/>
      <c r="B327" s="66"/>
      <c r="C327" s="245" t="s">
        <v>1591</v>
      </c>
      <c r="D327" s="308"/>
      <c r="E327" s="308"/>
      <c r="F327" s="308"/>
      <c r="G327" s="308"/>
      <c r="H327" s="309"/>
      <c r="I327" s="89" t="s">
        <v>29</v>
      </c>
      <c r="J327" s="89"/>
      <c r="K327" s="89"/>
      <c r="L327" s="89"/>
      <c r="M327" s="96"/>
      <c r="N327" s="119"/>
      <c r="O327" s="120" t="s">
        <v>1001</v>
      </c>
      <c r="P327" s="121"/>
      <c r="Q327" s="221" t="s">
        <v>1592</v>
      </c>
      <c r="R327" s="277"/>
      <c r="S327" s="277"/>
      <c r="T327" s="278"/>
      <c r="U327" s="66" t="s">
        <v>29</v>
      </c>
    </row>
    <row r="328" spans="1:21" ht="13.2" x14ac:dyDescent="0.25">
      <c r="A328" s="67"/>
      <c r="B328" s="66"/>
      <c r="C328" s="310"/>
      <c r="D328" s="311"/>
      <c r="E328" s="311"/>
      <c r="F328" s="311"/>
      <c r="G328" s="311"/>
      <c r="H328" s="312"/>
      <c r="I328" s="89" t="s">
        <v>29</v>
      </c>
      <c r="J328" s="89"/>
      <c r="K328" s="89"/>
      <c r="L328" s="89"/>
      <c r="M328" s="96"/>
      <c r="N328" s="119"/>
      <c r="O328" s="120"/>
      <c r="P328" s="121"/>
      <c r="Q328" s="279"/>
      <c r="R328" s="279"/>
      <c r="S328" s="279"/>
      <c r="T328" s="279"/>
      <c r="U328" s="66" t="s">
        <v>29</v>
      </c>
    </row>
    <row r="329" spans="1:21" ht="13.2" x14ac:dyDescent="0.25">
      <c r="A329" s="67"/>
      <c r="B329" s="66"/>
      <c r="C329" s="118" t="s">
        <v>1003</v>
      </c>
      <c r="D329" s="122"/>
      <c r="E329" s="225" t="s">
        <v>1592</v>
      </c>
      <c r="F329" s="280"/>
      <c r="G329" s="280"/>
      <c r="H329" s="281"/>
      <c r="I329" s="89" t="s">
        <v>29</v>
      </c>
      <c r="J329" s="89"/>
      <c r="K329" s="89"/>
      <c r="L329" s="89"/>
      <c r="M329" s="96"/>
      <c r="N329" s="119"/>
      <c r="O329" s="118" t="s">
        <v>1004</v>
      </c>
      <c r="P329" s="122"/>
      <c r="Q329" s="225" t="s">
        <v>1593</v>
      </c>
      <c r="R329" s="280"/>
      <c r="S329" s="280"/>
      <c r="T329" s="281"/>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42"/>
      <c r="D331" s="297"/>
      <c r="E331" s="297"/>
      <c r="F331" s="297"/>
      <c r="G331" s="297"/>
      <c r="H331" s="298"/>
      <c r="I331" s="66" t="s">
        <v>29</v>
      </c>
      <c r="J331" s="66"/>
      <c r="K331" s="66"/>
      <c r="L331" s="66"/>
      <c r="M331" s="74"/>
      <c r="N331" s="123"/>
      <c r="O331" s="240"/>
      <c r="P331" s="282"/>
      <c r="Q331" s="282"/>
      <c r="R331" s="282"/>
      <c r="S331" s="282"/>
      <c r="T331" s="283"/>
      <c r="U331" s="66" t="s">
        <v>29</v>
      </c>
    </row>
    <row r="332" spans="1:21" ht="13.2" x14ac:dyDescent="0.25">
      <c r="B332" s="66"/>
      <c r="C332" s="299"/>
      <c r="D332" s="300"/>
      <c r="E332" s="300"/>
      <c r="F332" s="300"/>
      <c r="G332" s="300"/>
      <c r="H332" s="301"/>
      <c r="I332" s="66" t="s">
        <v>29</v>
      </c>
      <c r="J332" s="66"/>
      <c r="K332" s="66"/>
      <c r="L332" s="66"/>
      <c r="M332" s="74"/>
      <c r="N332" s="123"/>
      <c r="O332" s="284"/>
      <c r="P332" s="285"/>
      <c r="Q332" s="285"/>
      <c r="R332" s="285"/>
      <c r="S332" s="285"/>
      <c r="T332" s="286"/>
      <c r="U332" s="66" t="s">
        <v>29</v>
      </c>
    </row>
    <row r="333" spans="1:21" ht="13.2" x14ac:dyDescent="0.25">
      <c r="B333" s="66"/>
      <c r="C333" s="299"/>
      <c r="D333" s="300"/>
      <c r="E333" s="300"/>
      <c r="F333" s="300"/>
      <c r="G333" s="300"/>
      <c r="H333" s="301"/>
      <c r="I333" s="66" t="s">
        <v>29</v>
      </c>
      <c r="J333" s="66"/>
      <c r="K333" s="66"/>
      <c r="L333" s="66"/>
      <c r="M333" s="74"/>
      <c r="N333" s="123"/>
      <c r="O333" s="284"/>
      <c r="P333" s="285"/>
      <c r="Q333" s="285"/>
      <c r="R333" s="285"/>
      <c r="S333" s="285"/>
      <c r="T333" s="286"/>
      <c r="U333" s="66" t="s">
        <v>29</v>
      </c>
    </row>
    <row r="334" spans="1:21" ht="13.2" x14ac:dyDescent="0.25">
      <c r="B334" s="66"/>
      <c r="C334" s="302"/>
      <c r="D334" s="303"/>
      <c r="E334" s="303"/>
      <c r="F334" s="303"/>
      <c r="G334" s="303"/>
      <c r="H334" s="304"/>
      <c r="I334" s="66" t="s">
        <v>29</v>
      </c>
      <c r="J334" s="66"/>
      <c r="K334" s="66"/>
      <c r="L334" s="66"/>
      <c r="M334" s="74"/>
      <c r="N334" s="123"/>
      <c r="O334" s="287"/>
      <c r="P334" s="288"/>
      <c r="Q334" s="288"/>
      <c r="R334" s="288"/>
      <c r="S334" s="288"/>
      <c r="T334" s="289"/>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10" priority="1" operator="equal">
      <formula>0</formula>
    </cfRule>
  </conditionalFormatting>
  <hyperlinks>
    <hyperlink ref="P5" location="null!a226" display="W-Woodley" xr:uid="{00000000-0004-0000-0500-000008000000}"/>
    <hyperlink ref="D5" location="null!a226" display="GF-Great Falls" xr:uid="{00000000-0004-0000-0500-000007000000}"/>
    <hyperlink ref="B5" location="null!a226" display="3" xr:uid="{00000000-0004-0000-0500-000006000000}"/>
    <hyperlink ref="P4" location="null!a116" display="HF-Hayfield Farm" xr:uid="{00000000-0004-0000-0500-000005000000}"/>
    <hyperlink ref="D4" location="null!a116" display="CB-Chesterbrook" xr:uid="{00000000-0004-0000-0500-000004000000}"/>
    <hyperlink ref="B4" location="null!a116" display="2" xr:uid="{00000000-0004-0000-0500-000003000000}"/>
    <hyperlink ref="P3" location="null!a6" display="THA-Truro Homes Association" xr:uid="{00000000-0004-0000-0500-000002000000}"/>
    <hyperlink ref="D3" location="null!a6" display="HP-Highland Park" xr:uid="{00000000-0004-0000-0500-000001000000}"/>
    <hyperlink ref="B3" location="null!a6" display="1" xr:uid="{00000000-0004-0000-05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AAAA"/>
    <outlinePr summaryBelow="0" summaryRight="0"/>
  </sheetPr>
  <dimension ref="A1:U349"/>
  <sheetViews>
    <sheetView workbookViewId="0">
      <pane ySplit="5" topLeftCell="A6"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20.109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9.4" customHeight="1" x14ac:dyDescent="0.45">
      <c r="A1" s="42" t="s">
        <v>29</v>
      </c>
      <c r="B1" s="43"/>
      <c r="C1" s="6"/>
      <c r="D1" s="44">
        <v>45461</v>
      </c>
      <c r="E1" s="8"/>
      <c r="F1" s="45" t="s">
        <v>911</v>
      </c>
      <c r="G1" s="9"/>
      <c r="H1" s="8"/>
      <c r="I1" s="10"/>
      <c r="J1" s="10"/>
      <c r="K1" s="10"/>
      <c r="L1" s="10"/>
      <c r="M1" s="10"/>
      <c r="N1" s="10"/>
      <c r="O1" s="10"/>
      <c r="P1" s="10"/>
      <c r="Q1" s="46" t="s">
        <v>1</v>
      </c>
      <c r="R1" s="246">
        <v>5</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72" t="s">
        <v>886</v>
      </c>
      <c r="E3" s="222"/>
      <c r="F3" s="251">
        <v>38</v>
      </c>
      <c r="G3" s="220"/>
      <c r="H3" s="222"/>
      <c r="I3" s="48">
        <v>0</v>
      </c>
      <c r="J3" s="8"/>
      <c r="K3" s="49">
        <v>12</v>
      </c>
      <c r="L3" s="50" t="s">
        <v>11</v>
      </c>
      <c r="M3" s="8"/>
      <c r="N3" s="51">
        <v>18</v>
      </c>
      <c r="O3" s="8"/>
      <c r="P3" s="273" t="s">
        <v>887</v>
      </c>
      <c r="Q3" s="220"/>
      <c r="R3" s="253">
        <v>29</v>
      </c>
      <c r="S3" s="220"/>
      <c r="T3" s="222"/>
      <c r="U3" s="48">
        <v>0</v>
      </c>
    </row>
    <row r="4" spans="1:21" ht="15.6" x14ac:dyDescent="0.3">
      <c r="A4" s="47">
        <v>2</v>
      </c>
      <c r="B4" s="27">
        <v>2</v>
      </c>
      <c r="C4" s="52"/>
      <c r="D4" s="272" t="s">
        <v>888</v>
      </c>
      <c r="E4" s="222"/>
      <c r="F4" s="251">
        <v>36</v>
      </c>
      <c r="G4" s="220"/>
      <c r="H4" s="220"/>
      <c r="I4" s="48">
        <v>0</v>
      </c>
      <c r="J4" s="31"/>
      <c r="K4" s="49">
        <v>25</v>
      </c>
      <c r="L4" s="50" t="s">
        <v>11</v>
      </c>
      <c r="M4" s="31"/>
      <c r="N4" s="51">
        <v>17</v>
      </c>
      <c r="O4" s="53"/>
      <c r="P4" s="273" t="s">
        <v>889</v>
      </c>
      <c r="Q4" s="220"/>
      <c r="R4" s="253">
        <v>35</v>
      </c>
      <c r="S4" s="220"/>
      <c r="T4" s="220"/>
      <c r="U4" s="48">
        <v>0</v>
      </c>
    </row>
    <row r="5" spans="1:21" ht="15.6" x14ac:dyDescent="0.3">
      <c r="A5" s="47">
        <v>3</v>
      </c>
      <c r="B5" s="27">
        <v>3</v>
      </c>
      <c r="C5" s="52"/>
      <c r="D5" s="275" t="s">
        <v>890</v>
      </c>
      <c r="E5" s="228"/>
      <c r="F5" s="251">
        <v>10</v>
      </c>
      <c r="G5" s="220"/>
      <c r="H5" s="222"/>
      <c r="I5" s="48">
        <v>0</v>
      </c>
      <c r="J5" s="31"/>
      <c r="K5" s="49">
        <v>14</v>
      </c>
      <c r="L5" s="50" t="s">
        <v>11</v>
      </c>
      <c r="M5" s="31"/>
      <c r="N5" s="51">
        <v>17</v>
      </c>
      <c r="O5" s="53"/>
      <c r="P5" s="274" t="s">
        <v>891</v>
      </c>
      <c r="Q5" s="227"/>
      <c r="R5" s="255">
        <v>50</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257" t="s">
        <v>859</v>
      </c>
      <c r="D9" s="220"/>
      <c r="E9" s="267" t="s">
        <v>886</v>
      </c>
      <c r="F9" s="220"/>
      <c r="G9" s="222"/>
      <c r="H9" s="140" t="s">
        <v>1594</v>
      </c>
      <c r="I9" s="141"/>
      <c r="J9" s="63"/>
      <c r="K9" s="63"/>
      <c r="L9" s="63"/>
      <c r="M9" s="63"/>
      <c r="N9" s="142"/>
      <c r="O9" s="236" t="s">
        <v>860</v>
      </c>
      <c r="P9" s="220"/>
      <c r="Q9" s="269" t="s">
        <v>887</v>
      </c>
      <c r="R9" s="220"/>
      <c r="S9" s="222"/>
      <c r="T9" s="143" t="s">
        <v>1595</v>
      </c>
      <c r="U9" s="144"/>
    </row>
    <row r="10" spans="1:21" ht="17.399999999999999" x14ac:dyDescent="0.3">
      <c r="B10" s="145"/>
      <c r="C10" s="243" t="s">
        <v>2</v>
      </c>
      <c r="D10" s="222"/>
      <c r="E10" s="268">
        <v>38</v>
      </c>
      <c r="F10" s="220"/>
      <c r="G10" s="220"/>
      <c r="H10" s="146"/>
      <c r="I10" s="141"/>
      <c r="J10" s="62"/>
      <c r="K10" s="62"/>
      <c r="L10" s="62"/>
      <c r="M10" s="62"/>
      <c r="N10" s="142"/>
      <c r="O10" s="238" t="s">
        <v>2</v>
      </c>
      <c r="P10" s="222"/>
      <c r="Q10" s="270">
        <v>29</v>
      </c>
      <c r="R10" s="220"/>
      <c r="S10" s="220"/>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6</v>
      </c>
      <c r="H13" s="79">
        <v>3</v>
      </c>
      <c r="I13" s="66"/>
      <c r="J13" s="66"/>
      <c r="K13" s="66"/>
      <c r="L13" s="66"/>
      <c r="M13" s="74"/>
      <c r="N13" s="66"/>
      <c r="O13" s="68" t="s">
        <v>921</v>
      </c>
      <c r="P13" s="75" t="s">
        <v>922</v>
      </c>
      <c r="Q13" s="76"/>
      <c r="R13" s="77"/>
      <c r="S13" s="78">
        <v>8</v>
      </c>
      <c r="T13" s="79">
        <v>0</v>
      </c>
      <c r="U13" s="66"/>
    </row>
    <row r="14" spans="1:21" ht="15.75" customHeight="1" x14ac:dyDescent="0.25">
      <c r="A14" s="67"/>
      <c r="B14" s="66"/>
      <c r="C14" s="68" t="s">
        <v>923</v>
      </c>
      <c r="D14" s="75" t="s">
        <v>924</v>
      </c>
      <c r="E14" s="76"/>
      <c r="F14" s="77"/>
      <c r="G14" s="78">
        <v>8</v>
      </c>
      <c r="H14" s="79">
        <v>0</v>
      </c>
      <c r="I14" s="66"/>
      <c r="J14" s="66"/>
      <c r="K14" s="66"/>
      <c r="L14" s="66"/>
      <c r="M14" s="74"/>
      <c r="N14" s="66"/>
      <c r="O14" s="68" t="s">
        <v>925</v>
      </c>
      <c r="P14" s="75" t="s">
        <v>926</v>
      </c>
      <c r="Q14" s="76"/>
      <c r="R14" s="77"/>
      <c r="S14" s="78">
        <v>5</v>
      </c>
      <c r="T14" s="79">
        <v>4</v>
      </c>
      <c r="U14" s="66"/>
    </row>
    <row r="15" spans="1:21" ht="15.75" customHeight="1" x14ac:dyDescent="0.25">
      <c r="A15" s="67"/>
      <c r="B15" s="66"/>
      <c r="C15" s="68" t="s">
        <v>927</v>
      </c>
      <c r="D15" s="75" t="s">
        <v>928</v>
      </c>
      <c r="E15" s="76"/>
      <c r="F15" s="77"/>
      <c r="G15" s="78">
        <v>5</v>
      </c>
      <c r="H15" s="79">
        <v>3</v>
      </c>
      <c r="I15" s="66"/>
      <c r="J15" s="66"/>
      <c r="K15" s="66"/>
      <c r="L15" s="66"/>
      <c r="M15" s="74"/>
      <c r="N15" s="66"/>
      <c r="O15" s="68" t="s">
        <v>929</v>
      </c>
      <c r="P15" s="75" t="s">
        <v>930</v>
      </c>
      <c r="Q15" s="76"/>
      <c r="R15" s="77"/>
      <c r="S15" s="78">
        <v>0</v>
      </c>
      <c r="T15" s="79">
        <v>8</v>
      </c>
      <c r="U15" s="66"/>
    </row>
    <row r="16" spans="1:21" ht="15.75" customHeight="1" x14ac:dyDescent="0.25">
      <c r="A16" s="67"/>
      <c r="B16" s="66"/>
      <c r="C16" s="68" t="s">
        <v>931</v>
      </c>
      <c r="D16" s="75" t="s">
        <v>932</v>
      </c>
      <c r="E16" s="76"/>
      <c r="F16" s="77"/>
      <c r="G16" s="78">
        <v>3</v>
      </c>
      <c r="H16" s="79">
        <v>5</v>
      </c>
      <c r="I16" s="66"/>
      <c r="J16" s="66"/>
      <c r="K16" s="66"/>
      <c r="L16" s="66"/>
      <c r="M16" s="74"/>
      <c r="N16" s="66"/>
      <c r="O16" s="68" t="s">
        <v>933</v>
      </c>
      <c r="P16" s="75" t="s">
        <v>934</v>
      </c>
      <c r="Q16" s="76"/>
      <c r="R16" s="77"/>
      <c r="S16" s="78">
        <v>3</v>
      </c>
      <c r="T16" s="79">
        <v>6</v>
      </c>
      <c r="U16" s="66"/>
    </row>
    <row r="17" spans="1:21" ht="15.75" customHeight="1" x14ac:dyDescent="0.25">
      <c r="A17" s="67"/>
      <c r="B17" s="66"/>
      <c r="C17" s="80"/>
      <c r="D17" s="81" t="s">
        <v>935</v>
      </c>
      <c r="E17" s="82"/>
      <c r="F17" s="83"/>
      <c r="G17" s="72">
        <v>22</v>
      </c>
      <c r="H17" s="73">
        <v>11</v>
      </c>
      <c r="I17" s="66"/>
      <c r="J17" s="66"/>
      <c r="K17" s="66"/>
      <c r="L17" s="66"/>
      <c r="M17" s="74"/>
      <c r="N17" s="66"/>
      <c r="O17" s="80"/>
      <c r="P17" s="81" t="s">
        <v>935</v>
      </c>
      <c r="Q17" s="82"/>
      <c r="R17" s="83"/>
      <c r="S17" s="72">
        <v>16</v>
      </c>
      <c r="T17" s="73">
        <v>18</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1596</v>
      </c>
      <c r="E22" s="94" t="s">
        <v>125</v>
      </c>
      <c r="F22" s="92" t="s">
        <v>1594</v>
      </c>
      <c r="G22" s="92">
        <v>5</v>
      </c>
      <c r="H22" s="92" t="s">
        <v>29</v>
      </c>
      <c r="I22" s="115" t="s">
        <v>29</v>
      </c>
      <c r="J22" s="89"/>
      <c r="K22" s="89"/>
      <c r="L22" s="89"/>
      <c r="M22" s="96" t="s">
        <v>921</v>
      </c>
      <c r="N22" s="84"/>
      <c r="O22" s="92">
        <v>1</v>
      </c>
      <c r="P22" s="93" t="s">
        <v>1597</v>
      </c>
      <c r="Q22" s="94" t="s">
        <v>128</v>
      </c>
      <c r="R22" s="92" t="s">
        <v>1594</v>
      </c>
      <c r="S22" s="92">
        <v>5</v>
      </c>
      <c r="T22" s="92" t="s">
        <v>29</v>
      </c>
      <c r="U22" s="115" t="s">
        <v>29</v>
      </c>
    </row>
    <row r="23" spans="1:21" ht="15.75" customHeight="1" x14ac:dyDescent="0.25">
      <c r="A23" s="67" t="s">
        <v>919</v>
      </c>
      <c r="B23" s="84"/>
      <c r="C23" s="92">
        <v>2</v>
      </c>
      <c r="D23" s="93" t="s">
        <v>1598</v>
      </c>
      <c r="E23" s="97" t="s">
        <v>96</v>
      </c>
      <c r="F23" s="92" t="s">
        <v>1595</v>
      </c>
      <c r="G23" s="92" t="s">
        <v>29</v>
      </c>
      <c r="H23" s="92">
        <v>3</v>
      </c>
      <c r="I23" s="115" t="s">
        <v>29</v>
      </c>
      <c r="J23" s="89"/>
      <c r="K23" s="89"/>
      <c r="L23" s="89"/>
      <c r="M23" s="96" t="s">
        <v>921</v>
      </c>
      <c r="N23" s="84"/>
      <c r="O23" s="92">
        <v>2</v>
      </c>
      <c r="P23" s="93" t="s">
        <v>1599</v>
      </c>
      <c r="Q23" s="97" t="s">
        <v>127</v>
      </c>
      <c r="R23" s="92" t="s">
        <v>1594</v>
      </c>
      <c r="S23" s="92">
        <v>3</v>
      </c>
      <c r="T23" s="92" t="s">
        <v>29</v>
      </c>
      <c r="U23" s="115" t="s">
        <v>29</v>
      </c>
    </row>
    <row r="24" spans="1:21" ht="15.75" customHeight="1" x14ac:dyDescent="0.25">
      <c r="A24" s="67" t="s">
        <v>919</v>
      </c>
      <c r="B24" s="84"/>
      <c r="C24" s="92">
        <v>3</v>
      </c>
      <c r="D24" s="93" t="s">
        <v>1600</v>
      </c>
      <c r="E24" s="97" t="s">
        <v>124</v>
      </c>
      <c r="F24" s="92" t="s">
        <v>1594</v>
      </c>
      <c r="G24" s="92">
        <v>1</v>
      </c>
      <c r="H24" s="92" t="s">
        <v>29</v>
      </c>
      <c r="I24" s="115" t="s">
        <v>29</v>
      </c>
      <c r="J24" s="89"/>
      <c r="K24" s="89"/>
      <c r="L24" s="89"/>
      <c r="M24" s="96" t="s">
        <v>29</v>
      </c>
      <c r="N24" s="84"/>
      <c r="O24" s="92" t="s">
        <v>29</v>
      </c>
      <c r="P24" s="93" t="s">
        <v>29</v>
      </c>
      <c r="Q24" s="97" t="s">
        <v>29</v>
      </c>
      <c r="R24" s="92" t="s">
        <v>29</v>
      </c>
      <c r="S24" s="92" t="s">
        <v>29</v>
      </c>
      <c r="T24" s="92" t="s">
        <v>29</v>
      </c>
      <c r="U24" s="115" t="s">
        <v>29</v>
      </c>
    </row>
    <row r="25" spans="1:21" ht="15.75" customHeight="1" x14ac:dyDescent="0.25">
      <c r="A25" s="67" t="s">
        <v>919</v>
      </c>
      <c r="B25" s="84"/>
      <c r="C25" s="92">
        <v>4</v>
      </c>
      <c r="D25" s="93" t="s">
        <v>1601</v>
      </c>
      <c r="E25" s="97" t="s">
        <v>98</v>
      </c>
      <c r="F25" s="92" t="s">
        <v>1595</v>
      </c>
      <c r="G25" s="92" t="s">
        <v>29</v>
      </c>
      <c r="H25" s="92" t="s">
        <v>29</v>
      </c>
      <c r="I25" s="115" t="s">
        <v>29</v>
      </c>
      <c r="J25" s="89"/>
      <c r="K25" s="89"/>
      <c r="L25" s="89"/>
      <c r="M25" s="96" t="s">
        <v>29</v>
      </c>
      <c r="N25" s="84"/>
      <c r="O25" s="92" t="s">
        <v>29</v>
      </c>
      <c r="P25" s="93" t="s">
        <v>29</v>
      </c>
      <c r="Q25" s="97" t="s">
        <v>29</v>
      </c>
      <c r="R25" s="92" t="s">
        <v>29</v>
      </c>
      <c r="S25" s="92" t="s">
        <v>29</v>
      </c>
      <c r="T25" s="92" t="s">
        <v>29</v>
      </c>
      <c r="U25" s="115" t="s">
        <v>29</v>
      </c>
    </row>
    <row r="26" spans="1:21" ht="15.75" customHeight="1" x14ac:dyDescent="0.25">
      <c r="A26" s="67" t="s">
        <v>919</v>
      </c>
      <c r="B26" s="84"/>
      <c r="C26" s="92">
        <v>5</v>
      </c>
      <c r="D26" s="93" t="s">
        <v>1602</v>
      </c>
      <c r="E26" s="97" t="s">
        <v>126</v>
      </c>
      <c r="F26" s="92" t="s">
        <v>1594</v>
      </c>
      <c r="G26" s="92" t="s">
        <v>29</v>
      </c>
      <c r="H26" s="92" t="s">
        <v>29</v>
      </c>
      <c r="I26" s="115" t="s">
        <v>29</v>
      </c>
      <c r="J26" s="89"/>
      <c r="K26" s="89"/>
      <c r="L26" s="89"/>
      <c r="M26" s="96" t="s">
        <v>29</v>
      </c>
      <c r="N26" s="84"/>
      <c r="O26" s="92" t="s">
        <v>29</v>
      </c>
      <c r="P26" s="93" t="s">
        <v>29</v>
      </c>
      <c r="Q26" s="97" t="s">
        <v>29</v>
      </c>
      <c r="R26" s="92" t="s">
        <v>29</v>
      </c>
      <c r="S26" s="92" t="s">
        <v>29</v>
      </c>
      <c r="T26" s="92" t="s">
        <v>29</v>
      </c>
      <c r="U26" s="115" t="s">
        <v>29</v>
      </c>
    </row>
    <row r="27" spans="1:21" ht="15.75" customHeight="1" x14ac:dyDescent="0.25">
      <c r="A27" s="67" t="s">
        <v>919</v>
      </c>
      <c r="B27" s="84"/>
      <c r="C27" s="92">
        <v>6</v>
      </c>
      <c r="D27" s="93" t="s">
        <v>1603</v>
      </c>
      <c r="E27" s="97" t="s">
        <v>93</v>
      </c>
      <c r="F27" s="92" t="s">
        <v>1595</v>
      </c>
      <c r="G27" s="92" t="s">
        <v>29</v>
      </c>
      <c r="H27" s="92" t="s">
        <v>29</v>
      </c>
      <c r="I27" s="115" t="s">
        <v>29</v>
      </c>
      <c r="J27" s="89"/>
      <c r="K27" s="89"/>
      <c r="L27" s="89"/>
      <c r="M27" s="96" t="s">
        <v>29</v>
      </c>
      <c r="N27" s="84"/>
      <c r="O27" s="92" t="s">
        <v>29</v>
      </c>
      <c r="P27" s="93" t="s">
        <v>29</v>
      </c>
      <c r="Q27" s="97" t="s">
        <v>29</v>
      </c>
      <c r="R27" s="92" t="s">
        <v>29</v>
      </c>
      <c r="S27" s="92" t="s">
        <v>29</v>
      </c>
      <c r="T27" s="92" t="s">
        <v>29</v>
      </c>
      <c r="U27" s="115" t="s">
        <v>29</v>
      </c>
    </row>
    <row r="28" spans="1:21" ht="15.75" customHeight="1" x14ac:dyDescent="0.25">
      <c r="A28" s="67" t="s">
        <v>919</v>
      </c>
      <c r="B28" s="84"/>
      <c r="C28" s="92">
        <v>7</v>
      </c>
      <c r="D28" s="93" t="s">
        <v>1604</v>
      </c>
      <c r="E28" s="97" t="s">
        <v>95</v>
      </c>
      <c r="F28" s="92" t="s">
        <v>1595</v>
      </c>
      <c r="G28" s="92" t="s">
        <v>29</v>
      </c>
      <c r="H28" s="92" t="s">
        <v>29</v>
      </c>
      <c r="I28" s="115" t="s">
        <v>29</v>
      </c>
      <c r="J28" s="89"/>
      <c r="K28" s="89"/>
      <c r="L28" s="89"/>
      <c r="M28" s="96" t="s">
        <v>29</v>
      </c>
      <c r="N28" s="84"/>
      <c r="O28" s="92" t="s">
        <v>29</v>
      </c>
      <c r="P28" s="93" t="s">
        <v>29</v>
      </c>
      <c r="Q28" s="97" t="s">
        <v>29</v>
      </c>
      <c r="R28" s="92" t="s">
        <v>29</v>
      </c>
      <c r="S28" s="92" t="s">
        <v>29</v>
      </c>
      <c r="T28" s="92" t="s">
        <v>29</v>
      </c>
      <c r="U28" s="115" t="s">
        <v>29</v>
      </c>
    </row>
    <row r="29" spans="1:21" ht="15.75" customHeight="1" x14ac:dyDescent="0.25">
      <c r="A29" s="67" t="s">
        <v>919</v>
      </c>
      <c r="B29" s="84"/>
      <c r="C29" s="92">
        <v>8</v>
      </c>
      <c r="D29" s="98" t="s">
        <v>1605</v>
      </c>
      <c r="E29" s="97" t="s">
        <v>91</v>
      </c>
      <c r="F29" s="92" t="s">
        <v>1595</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919</v>
      </c>
      <c r="B30" s="84"/>
      <c r="C30" s="92">
        <v>9</v>
      </c>
      <c r="D30" s="98" t="s">
        <v>1606</v>
      </c>
      <c r="E30" s="97" t="s">
        <v>90</v>
      </c>
      <c r="F30" s="92" t="s">
        <v>1595</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919</v>
      </c>
      <c r="B31" s="84"/>
      <c r="C31" s="92">
        <v>10</v>
      </c>
      <c r="D31" s="98" t="s">
        <v>1607</v>
      </c>
      <c r="E31" s="97" t="s">
        <v>94</v>
      </c>
      <c r="F31" s="92" t="s">
        <v>1595</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919</v>
      </c>
      <c r="B32" s="84"/>
      <c r="C32" s="92">
        <v>11</v>
      </c>
      <c r="D32" s="98" t="s">
        <v>1608</v>
      </c>
      <c r="E32" s="97" t="s">
        <v>92</v>
      </c>
      <c r="F32" s="92" t="s">
        <v>1595</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919</v>
      </c>
      <c r="B33" s="84"/>
      <c r="C33" s="92">
        <v>12</v>
      </c>
      <c r="D33" s="98" t="s">
        <v>1609</v>
      </c>
      <c r="E33" s="97" t="s">
        <v>97</v>
      </c>
      <c r="F33" s="92" t="s">
        <v>1595</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84"/>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84"/>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20"/>
      <c r="E47" s="220"/>
      <c r="F47" s="220"/>
      <c r="G47" s="99">
        <v>6</v>
      </c>
      <c r="H47" s="99">
        <v>3</v>
      </c>
      <c r="I47" s="115" t="s">
        <v>29</v>
      </c>
      <c r="J47" s="89"/>
      <c r="K47" s="89"/>
      <c r="L47" s="89"/>
      <c r="M47" s="96" t="s">
        <v>29</v>
      </c>
      <c r="N47" s="84"/>
      <c r="O47" s="219" t="s">
        <v>955</v>
      </c>
      <c r="P47" s="220"/>
      <c r="Q47" s="220"/>
      <c r="R47" s="220"/>
      <c r="S47" s="99">
        <v>8</v>
      </c>
      <c r="T47" s="99">
        <v>0</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39.6" x14ac:dyDescent="0.25">
      <c r="A51" s="67" t="s">
        <v>923</v>
      </c>
      <c r="B51" s="108"/>
      <c r="C51" s="92">
        <v>1</v>
      </c>
      <c r="D51" s="93" t="s">
        <v>1610</v>
      </c>
      <c r="E51" s="94" t="s">
        <v>131</v>
      </c>
      <c r="F51" s="92" t="s">
        <v>1594</v>
      </c>
      <c r="G51" s="92">
        <v>5</v>
      </c>
      <c r="H51" s="92" t="s">
        <v>29</v>
      </c>
      <c r="I51" s="116" t="s">
        <v>29</v>
      </c>
      <c r="J51" s="89"/>
      <c r="K51" s="89"/>
      <c r="L51" s="89"/>
      <c r="M51" s="96" t="s">
        <v>925</v>
      </c>
      <c r="N51" s="108"/>
      <c r="O51" s="92">
        <v>1</v>
      </c>
      <c r="P51" s="93" t="s">
        <v>1611</v>
      </c>
      <c r="Q51" s="94" t="s">
        <v>133</v>
      </c>
      <c r="R51" s="92" t="s">
        <v>1594</v>
      </c>
      <c r="S51" s="92">
        <v>5</v>
      </c>
      <c r="T51" s="92" t="s">
        <v>29</v>
      </c>
      <c r="U51" s="116" t="s">
        <v>29</v>
      </c>
    </row>
    <row r="52" spans="1:21" ht="13.2" x14ac:dyDescent="0.25">
      <c r="A52" s="67" t="s">
        <v>923</v>
      </c>
      <c r="B52" s="108"/>
      <c r="C52" s="92">
        <v>2</v>
      </c>
      <c r="D52" s="93" t="s">
        <v>1612</v>
      </c>
      <c r="E52" s="97" t="s">
        <v>132</v>
      </c>
      <c r="F52" s="92" t="s">
        <v>1594</v>
      </c>
      <c r="G52" s="92">
        <v>3</v>
      </c>
      <c r="H52" s="92" t="s">
        <v>29</v>
      </c>
      <c r="I52" s="116" t="s">
        <v>29</v>
      </c>
      <c r="J52" s="89"/>
      <c r="K52" s="89"/>
      <c r="L52" s="89"/>
      <c r="M52" s="96" t="s">
        <v>925</v>
      </c>
      <c r="N52" s="108"/>
      <c r="O52" s="92">
        <v>2</v>
      </c>
      <c r="P52" s="93" t="s">
        <v>1613</v>
      </c>
      <c r="Q52" s="97" t="s">
        <v>101</v>
      </c>
      <c r="R52" s="92" t="s">
        <v>1595</v>
      </c>
      <c r="S52" s="92" t="s">
        <v>29</v>
      </c>
      <c r="T52" s="92">
        <v>3</v>
      </c>
      <c r="U52" s="116" t="s">
        <v>29</v>
      </c>
    </row>
    <row r="53" spans="1:21" ht="13.2" x14ac:dyDescent="0.25">
      <c r="A53" s="67" t="s">
        <v>29</v>
      </c>
      <c r="B53" s="108"/>
      <c r="C53" s="92" t="s">
        <v>29</v>
      </c>
      <c r="D53" s="93" t="s">
        <v>29</v>
      </c>
      <c r="E53" s="97" t="s">
        <v>29</v>
      </c>
      <c r="F53" s="92" t="s">
        <v>29</v>
      </c>
      <c r="G53" s="92" t="s">
        <v>29</v>
      </c>
      <c r="H53" s="92" t="s">
        <v>29</v>
      </c>
      <c r="I53" s="116" t="s">
        <v>29</v>
      </c>
      <c r="J53" s="89"/>
      <c r="K53" s="89"/>
      <c r="L53" s="89"/>
      <c r="M53" s="96" t="s">
        <v>925</v>
      </c>
      <c r="N53" s="108"/>
      <c r="O53" s="92">
        <v>3</v>
      </c>
      <c r="P53" s="93" t="s">
        <v>1614</v>
      </c>
      <c r="Q53" s="97" t="s">
        <v>43</v>
      </c>
      <c r="R53" s="92" t="s">
        <v>1595</v>
      </c>
      <c r="S53" s="92" t="s">
        <v>29</v>
      </c>
      <c r="T53" s="92">
        <v>1</v>
      </c>
      <c r="U53" s="116" t="s">
        <v>29</v>
      </c>
    </row>
    <row r="54" spans="1:21" ht="13.2" x14ac:dyDescent="0.25">
      <c r="A54" s="67" t="s">
        <v>29</v>
      </c>
      <c r="B54" s="108"/>
      <c r="C54" s="92" t="s">
        <v>29</v>
      </c>
      <c r="D54" s="93" t="s">
        <v>29</v>
      </c>
      <c r="E54" s="97" t="s">
        <v>29</v>
      </c>
      <c r="F54" s="92" t="s">
        <v>29</v>
      </c>
      <c r="G54" s="92" t="s">
        <v>29</v>
      </c>
      <c r="H54" s="92" t="s">
        <v>29</v>
      </c>
      <c r="I54" s="116" t="s">
        <v>29</v>
      </c>
      <c r="J54" s="89"/>
      <c r="K54" s="89"/>
      <c r="L54" s="89"/>
      <c r="M54" s="96" t="s">
        <v>925</v>
      </c>
      <c r="N54" s="108"/>
      <c r="O54" s="92">
        <v>4</v>
      </c>
      <c r="P54" s="93" t="s">
        <v>1615</v>
      </c>
      <c r="Q54" s="97" t="s">
        <v>102</v>
      </c>
      <c r="R54" s="92" t="s">
        <v>1595</v>
      </c>
      <c r="S54" s="92" t="s">
        <v>29</v>
      </c>
      <c r="T54" s="92" t="s">
        <v>29</v>
      </c>
      <c r="U54" s="116" t="s">
        <v>29</v>
      </c>
    </row>
    <row r="55" spans="1:21" ht="13.2" x14ac:dyDescent="0.25">
      <c r="A55" s="67" t="s">
        <v>29</v>
      </c>
      <c r="B55" s="108"/>
      <c r="C55" s="92" t="s">
        <v>29</v>
      </c>
      <c r="D55" s="93" t="s">
        <v>29</v>
      </c>
      <c r="E55" s="97" t="s">
        <v>29</v>
      </c>
      <c r="F55" s="92" t="s">
        <v>29</v>
      </c>
      <c r="G55" s="92" t="s">
        <v>29</v>
      </c>
      <c r="H55" s="92" t="s">
        <v>29</v>
      </c>
      <c r="I55" s="116" t="s">
        <v>29</v>
      </c>
      <c r="J55" s="89"/>
      <c r="K55" s="89"/>
      <c r="L55" s="89"/>
      <c r="M55" s="96" t="s">
        <v>925</v>
      </c>
      <c r="N55" s="108"/>
      <c r="O55" s="92">
        <v>5</v>
      </c>
      <c r="P55" s="93" t="s">
        <v>1616</v>
      </c>
      <c r="Q55" s="97" t="s">
        <v>134</v>
      </c>
      <c r="R55" s="92" t="s">
        <v>1594</v>
      </c>
      <c r="S55" s="92" t="s">
        <v>29</v>
      </c>
      <c r="T55" s="92" t="s">
        <v>29</v>
      </c>
      <c r="U55" s="116" t="s">
        <v>29</v>
      </c>
    </row>
    <row r="56" spans="1:21" ht="13.2" x14ac:dyDescent="0.25">
      <c r="A56" s="67" t="s">
        <v>29</v>
      </c>
      <c r="B56" s="108"/>
      <c r="C56" s="92" t="s">
        <v>29</v>
      </c>
      <c r="D56" s="93" t="s">
        <v>29</v>
      </c>
      <c r="E56" s="97" t="s">
        <v>29</v>
      </c>
      <c r="F56" s="92" t="s">
        <v>29</v>
      </c>
      <c r="G56" s="92" t="s">
        <v>29</v>
      </c>
      <c r="H56" s="92" t="s">
        <v>29</v>
      </c>
      <c r="I56" s="116" t="s">
        <v>29</v>
      </c>
      <c r="J56" s="89"/>
      <c r="K56" s="89"/>
      <c r="L56" s="89"/>
      <c r="M56" s="96" t="s">
        <v>29</v>
      </c>
      <c r="N56" s="108"/>
      <c r="O56" s="92" t="s">
        <v>29</v>
      </c>
      <c r="P56" s="93" t="s">
        <v>29</v>
      </c>
      <c r="Q56" s="97" t="s">
        <v>29</v>
      </c>
      <c r="R56" s="92" t="s">
        <v>29</v>
      </c>
      <c r="S56" s="92" t="s">
        <v>29</v>
      </c>
      <c r="T56" s="92" t="s">
        <v>29</v>
      </c>
      <c r="U56" s="116" t="s">
        <v>29</v>
      </c>
    </row>
    <row r="57" spans="1:21" ht="13.2" x14ac:dyDescent="0.25">
      <c r="A57" s="67" t="s">
        <v>29</v>
      </c>
      <c r="B57" s="108"/>
      <c r="C57" s="92" t="s">
        <v>29</v>
      </c>
      <c r="D57" s="93" t="s">
        <v>29</v>
      </c>
      <c r="E57" s="97" t="s">
        <v>29</v>
      </c>
      <c r="F57" s="92" t="s">
        <v>29</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29</v>
      </c>
      <c r="B58" s="108"/>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08"/>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20"/>
      <c r="E66" s="220"/>
      <c r="F66" s="222"/>
      <c r="G66" s="99">
        <v>8</v>
      </c>
      <c r="H66" s="99">
        <v>0</v>
      </c>
      <c r="I66" s="116" t="s">
        <v>29</v>
      </c>
      <c r="J66" s="89"/>
      <c r="K66" s="89"/>
      <c r="L66" s="89"/>
      <c r="M66" s="96" t="s">
        <v>29</v>
      </c>
      <c r="N66" s="108"/>
      <c r="O66" s="219" t="s">
        <v>972</v>
      </c>
      <c r="P66" s="220"/>
      <c r="Q66" s="220"/>
      <c r="R66" s="222"/>
      <c r="S66" s="99">
        <v>5</v>
      </c>
      <c r="T66" s="99">
        <v>4</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1617</v>
      </c>
      <c r="E70" s="94" t="s">
        <v>130</v>
      </c>
      <c r="F70" s="92" t="s">
        <v>1594</v>
      </c>
      <c r="G70" s="92">
        <v>5</v>
      </c>
      <c r="H70" s="92" t="s">
        <v>29</v>
      </c>
      <c r="I70" s="115" t="s">
        <v>29</v>
      </c>
      <c r="J70" s="89"/>
      <c r="K70" s="89"/>
      <c r="L70" s="89"/>
      <c r="M70" s="96" t="s">
        <v>929</v>
      </c>
      <c r="N70" s="84"/>
      <c r="O70" s="92">
        <v>1</v>
      </c>
      <c r="P70" s="93" t="s">
        <v>1618</v>
      </c>
      <c r="Q70" s="94" t="s">
        <v>100</v>
      </c>
      <c r="R70" s="92" t="s">
        <v>1595</v>
      </c>
      <c r="S70" s="92" t="s">
        <v>29</v>
      </c>
      <c r="T70" s="92">
        <v>5</v>
      </c>
      <c r="U70" s="115" t="s">
        <v>29</v>
      </c>
    </row>
    <row r="71" spans="1:21" ht="13.2" x14ac:dyDescent="0.25">
      <c r="A71" s="67" t="s">
        <v>927</v>
      </c>
      <c r="B71" s="84"/>
      <c r="C71" s="92">
        <v>2</v>
      </c>
      <c r="D71" s="93" t="s">
        <v>1619</v>
      </c>
      <c r="E71" s="97" t="s">
        <v>99</v>
      </c>
      <c r="F71" s="92" t="s">
        <v>1595</v>
      </c>
      <c r="G71" s="92" t="s">
        <v>29</v>
      </c>
      <c r="H71" s="92">
        <v>3</v>
      </c>
      <c r="I71" s="115" t="s">
        <v>29</v>
      </c>
      <c r="J71" s="89"/>
      <c r="K71" s="89"/>
      <c r="L71" s="89"/>
      <c r="M71" s="96" t="s">
        <v>929</v>
      </c>
      <c r="N71" s="84"/>
      <c r="O71" s="92">
        <v>2</v>
      </c>
      <c r="P71" s="93" t="s">
        <v>1620</v>
      </c>
      <c r="Q71" s="97" t="s">
        <v>103</v>
      </c>
      <c r="R71" s="92" t="s">
        <v>1595</v>
      </c>
      <c r="S71" s="92" t="s">
        <v>29</v>
      </c>
      <c r="T71" s="92">
        <v>3</v>
      </c>
      <c r="U71" s="115" t="s">
        <v>64</v>
      </c>
    </row>
    <row r="72" spans="1:21" ht="13.2" x14ac:dyDescent="0.25">
      <c r="A72" s="67" t="s">
        <v>29</v>
      </c>
      <c r="B72" s="84"/>
      <c r="C72" s="92" t="s">
        <v>29</v>
      </c>
      <c r="D72" s="93" t="s">
        <v>29</v>
      </c>
      <c r="E72" s="97" t="s">
        <v>29</v>
      </c>
      <c r="F72" s="92" t="s">
        <v>29</v>
      </c>
      <c r="G72" s="92" t="s">
        <v>29</v>
      </c>
      <c r="H72" s="92" t="s">
        <v>29</v>
      </c>
      <c r="I72" s="115" t="s">
        <v>29</v>
      </c>
      <c r="J72" s="89"/>
      <c r="K72" s="89"/>
      <c r="L72" s="89"/>
      <c r="M72" s="96" t="s">
        <v>29</v>
      </c>
      <c r="N72" s="84"/>
      <c r="O72" s="92" t="s">
        <v>29</v>
      </c>
      <c r="P72" s="93" t="s">
        <v>29</v>
      </c>
      <c r="Q72" s="97" t="s">
        <v>29</v>
      </c>
      <c r="R72" s="92" t="s">
        <v>29</v>
      </c>
      <c r="S72" s="92" t="s">
        <v>29</v>
      </c>
      <c r="T72" s="92" t="s">
        <v>29</v>
      </c>
      <c r="U72" s="115" t="s">
        <v>29</v>
      </c>
    </row>
    <row r="73" spans="1:21" ht="13.2" x14ac:dyDescent="0.25">
      <c r="A73" s="67" t="s">
        <v>29</v>
      </c>
      <c r="B73" s="84"/>
      <c r="C73" s="92" t="s">
        <v>29</v>
      </c>
      <c r="D73" s="93" t="s">
        <v>29</v>
      </c>
      <c r="E73" s="97" t="s">
        <v>29</v>
      </c>
      <c r="F73" s="92" t="s">
        <v>29</v>
      </c>
      <c r="G73" s="92" t="s">
        <v>29</v>
      </c>
      <c r="H73" s="92" t="s">
        <v>29</v>
      </c>
      <c r="I73" s="115" t="s">
        <v>29</v>
      </c>
      <c r="J73" s="89"/>
      <c r="K73" s="89"/>
      <c r="L73" s="89"/>
      <c r="M73" s="96" t="s">
        <v>29</v>
      </c>
      <c r="N73" s="84"/>
      <c r="O73" s="92" t="s">
        <v>29</v>
      </c>
      <c r="P73" s="93" t="s">
        <v>29</v>
      </c>
      <c r="Q73" s="97" t="s">
        <v>29</v>
      </c>
      <c r="R73" s="92" t="s">
        <v>29</v>
      </c>
      <c r="S73" s="92" t="s">
        <v>29</v>
      </c>
      <c r="T73" s="92" t="s">
        <v>29</v>
      </c>
      <c r="U73" s="115" t="s">
        <v>29</v>
      </c>
    </row>
    <row r="74" spans="1:21" ht="13.2" x14ac:dyDescent="0.25">
      <c r="A74" s="67" t="s">
        <v>29</v>
      </c>
      <c r="B74" s="84"/>
      <c r="C74" s="92" t="s">
        <v>29</v>
      </c>
      <c r="D74" s="93" t="s">
        <v>29</v>
      </c>
      <c r="E74" s="97" t="s">
        <v>29</v>
      </c>
      <c r="F74" s="92" t="s">
        <v>29</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84"/>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20"/>
      <c r="E85" s="220"/>
      <c r="F85" s="220"/>
      <c r="G85" s="99">
        <v>5</v>
      </c>
      <c r="H85" s="99">
        <v>3</v>
      </c>
      <c r="I85" s="115" t="s">
        <v>29</v>
      </c>
      <c r="J85" s="89"/>
      <c r="K85" s="89"/>
      <c r="L85" s="89"/>
      <c r="M85" s="96" t="s">
        <v>29</v>
      </c>
      <c r="N85" s="84"/>
      <c r="O85" s="219" t="s">
        <v>985</v>
      </c>
      <c r="P85" s="220"/>
      <c r="Q85" s="220"/>
      <c r="R85" s="220"/>
      <c r="S85" s="99">
        <v>0</v>
      </c>
      <c r="T85" s="99">
        <v>8</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1621</v>
      </c>
      <c r="E89" s="94" t="s">
        <v>104</v>
      </c>
      <c r="F89" s="92" t="s">
        <v>1595</v>
      </c>
      <c r="G89" s="92" t="s">
        <v>29</v>
      </c>
      <c r="H89" s="92">
        <v>5</v>
      </c>
      <c r="I89" s="116" t="s">
        <v>29</v>
      </c>
      <c r="J89" s="89"/>
      <c r="K89" s="89"/>
      <c r="L89" s="89"/>
      <c r="M89" s="96" t="s">
        <v>933</v>
      </c>
      <c r="N89" s="108"/>
      <c r="O89" s="92">
        <v>1</v>
      </c>
      <c r="P89" s="93" t="s">
        <v>1622</v>
      </c>
      <c r="Q89" s="94" t="s">
        <v>105</v>
      </c>
      <c r="R89" s="92" t="s">
        <v>1595</v>
      </c>
      <c r="S89" s="92" t="s">
        <v>29</v>
      </c>
      <c r="T89" s="92">
        <v>5</v>
      </c>
      <c r="U89" s="116" t="s">
        <v>29</v>
      </c>
    </row>
    <row r="90" spans="1:21" ht="13.2" x14ac:dyDescent="0.25">
      <c r="A90" s="67" t="s">
        <v>931</v>
      </c>
      <c r="B90" s="108"/>
      <c r="C90" s="92">
        <v>2</v>
      </c>
      <c r="D90" s="93" t="s">
        <v>1623</v>
      </c>
      <c r="E90" s="97" t="s">
        <v>129</v>
      </c>
      <c r="F90" s="92" t="s">
        <v>1594</v>
      </c>
      <c r="G90" s="92">
        <v>3</v>
      </c>
      <c r="H90" s="92" t="s">
        <v>29</v>
      </c>
      <c r="I90" s="116" t="s">
        <v>64</v>
      </c>
      <c r="J90" s="89"/>
      <c r="K90" s="89"/>
      <c r="L90" s="89"/>
      <c r="M90" s="96" t="s">
        <v>933</v>
      </c>
      <c r="N90" s="108"/>
      <c r="O90" s="92">
        <v>2</v>
      </c>
      <c r="P90" s="93" t="s">
        <v>1624</v>
      </c>
      <c r="Q90" s="97" t="s">
        <v>135</v>
      </c>
      <c r="R90" s="92" t="s">
        <v>1594</v>
      </c>
      <c r="S90" s="92">
        <v>3</v>
      </c>
      <c r="T90" s="92" t="s">
        <v>29</v>
      </c>
      <c r="U90" s="116" t="s">
        <v>29</v>
      </c>
    </row>
    <row r="91" spans="1:21" ht="13.2" x14ac:dyDescent="0.25">
      <c r="A91" s="67" t="s">
        <v>29</v>
      </c>
      <c r="B91" s="108"/>
      <c r="C91" s="92" t="s">
        <v>29</v>
      </c>
      <c r="D91" s="93" t="s">
        <v>29</v>
      </c>
      <c r="E91" s="97" t="s">
        <v>29</v>
      </c>
      <c r="F91" s="92" t="s">
        <v>29</v>
      </c>
      <c r="G91" s="92" t="s">
        <v>29</v>
      </c>
      <c r="H91" s="92" t="s">
        <v>29</v>
      </c>
      <c r="I91" s="116" t="s">
        <v>29</v>
      </c>
      <c r="J91" s="89"/>
      <c r="K91" s="89"/>
      <c r="L91" s="89"/>
      <c r="M91" s="96" t="s">
        <v>933</v>
      </c>
      <c r="N91" s="108"/>
      <c r="O91" s="92">
        <v>3</v>
      </c>
      <c r="P91" s="93" t="s">
        <v>1625</v>
      </c>
      <c r="Q91" s="97" t="s">
        <v>106</v>
      </c>
      <c r="R91" s="92" t="s">
        <v>1595</v>
      </c>
      <c r="S91" s="92" t="s">
        <v>29</v>
      </c>
      <c r="T91" s="92">
        <v>1</v>
      </c>
      <c r="U91" s="116" t="s">
        <v>29</v>
      </c>
    </row>
    <row r="92" spans="1:21" ht="13.2" x14ac:dyDescent="0.25">
      <c r="A92" s="67" t="s">
        <v>29</v>
      </c>
      <c r="B92" s="108"/>
      <c r="C92" s="92" t="s">
        <v>29</v>
      </c>
      <c r="D92" s="93" t="s">
        <v>29</v>
      </c>
      <c r="E92" s="97" t="s">
        <v>29</v>
      </c>
      <c r="F92" s="92" t="s">
        <v>29</v>
      </c>
      <c r="G92" s="92" t="s">
        <v>29</v>
      </c>
      <c r="H92" s="92" t="s">
        <v>29</v>
      </c>
      <c r="I92" s="116" t="s">
        <v>29</v>
      </c>
      <c r="J92" s="89"/>
      <c r="K92" s="89"/>
      <c r="L92" s="89"/>
      <c r="M92" s="96" t="s">
        <v>29</v>
      </c>
      <c r="N92" s="108"/>
      <c r="O92" s="92" t="s">
        <v>29</v>
      </c>
      <c r="P92" s="93" t="s">
        <v>29</v>
      </c>
      <c r="Q92" s="97" t="s">
        <v>29</v>
      </c>
      <c r="R92" s="92" t="s">
        <v>29</v>
      </c>
      <c r="S92" s="92" t="s">
        <v>29</v>
      </c>
      <c r="T92" s="92" t="s">
        <v>29</v>
      </c>
      <c r="U92" s="116" t="s">
        <v>29</v>
      </c>
    </row>
    <row r="93" spans="1:21" ht="13.2" x14ac:dyDescent="0.25">
      <c r="A93" s="67" t="s">
        <v>29</v>
      </c>
      <c r="B93" s="108"/>
      <c r="C93" s="92" t="s">
        <v>29</v>
      </c>
      <c r="D93" s="93" t="s">
        <v>29</v>
      </c>
      <c r="E93" s="97" t="s">
        <v>29</v>
      </c>
      <c r="F93" s="92" t="s">
        <v>29</v>
      </c>
      <c r="G93" s="92" t="s">
        <v>29</v>
      </c>
      <c r="H93" s="92" t="s">
        <v>29</v>
      </c>
      <c r="I93" s="116" t="s">
        <v>29</v>
      </c>
      <c r="J93" s="89"/>
      <c r="K93" s="89"/>
      <c r="L93" s="89"/>
      <c r="M93" s="96" t="s">
        <v>29</v>
      </c>
      <c r="N93" s="108"/>
      <c r="O93" s="92" t="s">
        <v>29</v>
      </c>
      <c r="P93" s="93" t="s">
        <v>29</v>
      </c>
      <c r="Q93" s="97" t="s">
        <v>29</v>
      </c>
      <c r="R93" s="92" t="s">
        <v>29</v>
      </c>
      <c r="S93" s="92" t="s">
        <v>29</v>
      </c>
      <c r="T93" s="92" t="s">
        <v>29</v>
      </c>
      <c r="U93" s="116" t="s">
        <v>29</v>
      </c>
    </row>
    <row r="94" spans="1:21" ht="13.2" x14ac:dyDescent="0.25">
      <c r="A94" s="67" t="s">
        <v>29</v>
      </c>
      <c r="B94" s="108"/>
      <c r="C94" s="92" t="s">
        <v>29</v>
      </c>
      <c r="D94" s="93" t="s">
        <v>29</v>
      </c>
      <c r="E94" s="97" t="s">
        <v>29</v>
      </c>
      <c r="F94" s="92" t="s">
        <v>29</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29</v>
      </c>
      <c r="B95" s="108"/>
      <c r="C95" s="92" t="s">
        <v>29</v>
      </c>
      <c r="D95" s="93" t="s">
        <v>29</v>
      </c>
      <c r="E95" s="97" t="s">
        <v>29</v>
      </c>
      <c r="F95" s="92" t="s">
        <v>29</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29</v>
      </c>
      <c r="B96" s="108"/>
      <c r="C96" s="92" t="s">
        <v>29</v>
      </c>
      <c r="D96" s="93" t="s">
        <v>29</v>
      </c>
      <c r="E96" s="97" t="s">
        <v>29</v>
      </c>
      <c r="F96" s="92" t="s">
        <v>29</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29</v>
      </c>
      <c r="B97" s="108"/>
      <c r="C97" s="92" t="s">
        <v>29</v>
      </c>
      <c r="D97" s="93" t="s">
        <v>29</v>
      </c>
      <c r="E97" s="97" t="s">
        <v>29</v>
      </c>
      <c r="F97" s="92" t="s">
        <v>29</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08"/>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20"/>
      <c r="E104" s="220"/>
      <c r="F104" s="220"/>
      <c r="G104" s="99">
        <v>3</v>
      </c>
      <c r="H104" s="99">
        <v>5</v>
      </c>
      <c r="I104" s="116" t="s">
        <v>29</v>
      </c>
      <c r="J104" s="89"/>
      <c r="K104" s="89"/>
      <c r="L104" s="89"/>
      <c r="M104" s="96" t="s">
        <v>29</v>
      </c>
      <c r="N104" s="108"/>
      <c r="O104" s="219" t="s">
        <v>996</v>
      </c>
      <c r="P104" s="220"/>
      <c r="Q104" s="220"/>
      <c r="R104" s="220"/>
      <c r="S104" s="99">
        <v>3</v>
      </c>
      <c r="T104" s="99">
        <v>6</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1626</v>
      </c>
      <c r="R106" s="220"/>
      <c r="S106" s="220"/>
      <c r="T106" s="222"/>
      <c r="U106" s="66" t="s">
        <v>29</v>
      </c>
    </row>
    <row r="107" spans="1:21" ht="13.2" x14ac:dyDescent="0.25">
      <c r="A107" s="67"/>
      <c r="B107" s="66"/>
      <c r="C107" s="245" t="s">
        <v>1627</v>
      </c>
      <c r="D107" s="227"/>
      <c r="E107" s="227"/>
      <c r="F107" s="227"/>
      <c r="G107" s="227"/>
      <c r="H107" s="228"/>
      <c r="I107" s="89" t="s">
        <v>29</v>
      </c>
      <c r="J107" s="89"/>
      <c r="K107" s="89"/>
      <c r="L107" s="89"/>
      <c r="M107" s="96"/>
      <c r="N107" s="119"/>
      <c r="O107" s="120" t="s">
        <v>1001</v>
      </c>
      <c r="P107" s="121"/>
      <c r="Q107" s="221" t="s">
        <v>1628</v>
      </c>
      <c r="R107" s="220"/>
      <c r="S107" s="220"/>
      <c r="T107" s="222"/>
      <c r="U107" s="66" t="s">
        <v>29</v>
      </c>
    </row>
    <row r="108" spans="1:21" ht="13.2" x14ac:dyDescent="0.25">
      <c r="A108" s="67"/>
      <c r="B108" s="66"/>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B109" s="66"/>
      <c r="C109" s="118" t="s">
        <v>1003</v>
      </c>
      <c r="D109" s="122"/>
      <c r="E109" s="225" t="s">
        <v>1628</v>
      </c>
      <c r="F109" s="220"/>
      <c r="G109" s="220"/>
      <c r="H109" s="222"/>
      <c r="I109" s="89" t="s">
        <v>29</v>
      </c>
      <c r="J109" s="89"/>
      <c r="K109" s="89"/>
      <c r="L109" s="89"/>
      <c r="M109" s="96"/>
      <c r="N109" s="119"/>
      <c r="O109" s="118" t="s">
        <v>1004</v>
      </c>
      <c r="P109" s="122"/>
      <c r="Q109" s="225" t="s">
        <v>1629</v>
      </c>
      <c r="R109" s="220"/>
      <c r="S109" s="220"/>
      <c r="T109" s="222"/>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42"/>
      <c r="D111" s="227"/>
      <c r="E111" s="227"/>
      <c r="F111" s="227"/>
      <c r="G111" s="227"/>
      <c r="H111" s="228"/>
      <c r="I111" s="66" t="s">
        <v>29</v>
      </c>
      <c r="J111" s="66"/>
      <c r="K111" s="66"/>
      <c r="L111" s="66"/>
      <c r="M111" s="74"/>
      <c r="N111" s="123"/>
      <c r="O111" s="240"/>
      <c r="P111" s="227"/>
      <c r="Q111" s="227"/>
      <c r="R111" s="227"/>
      <c r="S111" s="227"/>
      <c r="T111" s="228"/>
      <c r="U111" s="66" t="s">
        <v>29</v>
      </c>
    </row>
    <row r="112" spans="1:21" ht="13.2" x14ac:dyDescent="0.25">
      <c r="A112" s="67"/>
      <c r="B112" s="66"/>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B113" s="66"/>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B114" s="66"/>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220"/>
      <c r="E119" s="271" t="s">
        <v>888</v>
      </c>
      <c r="F119" s="220"/>
      <c r="G119" s="222"/>
      <c r="H119" s="150" t="s">
        <v>1630</v>
      </c>
      <c r="I119" s="151" t="s">
        <v>29</v>
      </c>
      <c r="J119" s="152"/>
      <c r="K119" s="152"/>
      <c r="L119" s="152"/>
      <c r="M119" s="153"/>
      <c r="N119" s="64"/>
      <c r="O119" s="236" t="s">
        <v>860</v>
      </c>
      <c r="P119" s="220"/>
      <c r="Q119" s="261" t="s">
        <v>889</v>
      </c>
      <c r="R119" s="220"/>
      <c r="S119" s="222"/>
      <c r="T119" s="154" t="s">
        <v>1631</v>
      </c>
      <c r="U119" s="155" t="s">
        <v>29</v>
      </c>
    </row>
    <row r="120" spans="1:21" ht="17.399999999999999" x14ac:dyDescent="0.25">
      <c r="A120" s="67"/>
      <c r="B120" s="156"/>
      <c r="C120" s="265" t="s">
        <v>2</v>
      </c>
      <c r="D120" s="222"/>
      <c r="E120" s="266">
        <v>36</v>
      </c>
      <c r="F120" s="220"/>
      <c r="G120" s="220"/>
      <c r="H120" s="157"/>
      <c r="I120" s="151" t="s">
        <v>29</v>
      </c>
      <c r="J120" s="158"/>
      <c r="K120" s="158"/>
      <c r="L120" s="158"/>
      <c r="M120" s="159"/>
      <c r="N120" s="64"/>
      <c r="O120" s="262" t="s">
        <v>2</v>
      </c>
      <c r="P120" s="222"/>
      <c r="Q120" s="263">
        <v>35</v>
      </c>
      <c r="R120" s="220"/>
      <c r="S120" s="220"/>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B123" s="66"/>
      <c r="C123" s="68" t="s">
        <v>919</v>
      </c>
      <c r="D123" s="161" t="s">
        <v>920</v>
      </c>
      <c r="E123" s="68"/>
      <c r="F123" s="68"/>
      <c r="G123" s="78">
        <v>6</v>
      </c>
      <c r="H123" s="79">
        <v>3</v>
      </c>
      <c r="I123" s="66" t="s">
        <v>29</v>
      </c>
      <c r="J123" s="66"/>
      <c r="K123" s="66"/>
      <c r="L123" s="66"/>
      <c r="M123" s="74"/>
      <c r="N123" s="66"/>
      <c r="O123" s="68" t="s">
        <v>921</v>
      </c>
      <c r="P123" s="161" t="s">
        <v>922</v>
      </c>
      <c r="Q123" s="68"/>
      <c r="R123" s="68"/>
      <c r="S123" s="78">
        <v>4</v>
      </c>
      <c r="T123" s="79">
        <v>5</v>
      </c>
      <c r="U123" s="66" t="s">
        <v>29</v>
      </c>
    </row>
    <row r="124" spans="1:21" ht="13.2" x14ac:dyDescent="0.25">
      <c r="A124" s="67"/>
      <c r="B124" s="66"/>
      <c r="C124" s="68" t="s">
        <v>923</v>
      </c>
      <c r="D124" s="161" t="s">
        <v>924</v>
      </c>
      <c r="E124" s="68"/>
      <c r="F124" s="68"/>
      <c r="G124" s="78">
        <v>1</v>
      </c>
      <c r="H124" s="79">
        <v>8</v>
      </c>
      <c r="I124" s="66" t="s">
        <v>29</v>
      </c>
      <c r="J124" s="66"/>
      <c r="K124" s="66"/>
      <c r="L124" s="66"/>
      <c r="M124" s="74"/>
      <c r="N124" s="66"/>
      <c r="O124" s="68" t="s">
        <v>925</v>
      </c>
      <c r="P124" s="161" t="s">
        <v>926</v>
      </c>
      <c r="Q124" s="68"/>
      <c r="R124" s="68"/>
      <c r="S124" s="78">
        <v>6</v>
      </c>
      <c r="T124" s="79">
        <v>3</v>
      </c>
      <c r="U124" s="66" t="s">
        <v>29</v>
      </c>
    </row>
    <row r="125" spans="1:21" ht="13.2" x14ac:dyDescent="0.25">
      <c r="A125" s="67"/>
      <c r="B125" s="66"/>
      <c r="C125" s="68" t="s">
        <v>927</v>
      </c>
      <c r="D125" s="161" t="s">
        <v>928</v>
      </c>
      <c r="E125" s="68"/>
      <c r="F125" s="68"/>
      <c r="G125" s="78">
        <v>5</v>
      </c>
      <c r="H125" s="79">
        <v>3</v>
      </c>
      <c r="I125" s="66" t="s">
        <v>29</v>
      </c>
      <c r="J125" s="66"/>
      <c r="K125" s="66"/>
      <c r="L125" s="66"/>
      <c r="M125" s="74"/>
      <c r="N125" s="66"/>
      <c r="O125" s="68" t="s">
        <v>929</v>
      </c>
      <c r="P125" s="161" t="s">
        <v>930</v>
      </c>
      <c r="Q125" s="68"/>
      <c r="R125" s="68"/>
      <c r="S125" s="78">
        <v>0</v>
      </c>
      <c r="T125" s="79">
        <v>9</v>
      </c>
      <c r="U125" s="66" t="s">
        <v>29</v>
      </c>
    </row>
    <row r="126" spans="1:21" ht="13.2" x14ac:dyDescent="0.25">
      <c r="A126" s="67"/>
      <c r="B126" s="66"/>
      <c r="C126" s="68" t="s">
        <v>931</v>
      </c>
      <c r="D126" s="161" t="s">
        <v>932</v>
      </c>
      <c r="E126" s="68"/>
      <c r="F126" s="68"/>
      <c r="G126" s="78">
        <v>5</v>
      </c>
      <c r="H126" s="79">
        <v>4</v>
      </c>
      <c r="I126" s="66" t="s">
        <v>29</v>
      </c>
      <c r="J126" s="66"/>
      <c r="K126" s="66"/>
      <c r="L126" s="66"/>
      <c r="M126" s="74"/>
      <c r="N126" s="66"/>
      <c r="O126" s="68" t="s">
        <v>933</v>
      </c>
      <c r="P126" s="161" t="s">
        <v>934</v>
      </c>
      <c r="Q126" s="68"/>
      <c r="R126" s="68"/>
      <c r="S126" s="78">
        <v>9</v>
      </c>
      <c r="T126" s="79">
        <v>0</v>
      </c>
      <c r="U126" s="66" t="s">
        <v>29</v>
      </c>
    </row>
    <row r="127" spans="1:21" ht="13.2" x14ac:dyDescent="0.25">
      <c r="A127" s="67"/>
      <c r="B127" s="66"/>
      <c r="C127" s="80"/>
      <c r="D127" s="162" t="s">
        <v>935</v>
      </c>
      <c r="E127" s="162"/>
      <c r="F127" s="162"/>
      <c r="G127" s="72">
        <v>17</v>
      </c>
      <c r="H127" s="73">
        <v>18</v>
      </c>
      <c r="I127" s="66" t="s">
        <v>29</v>
      </c>
      <c r="J127" s="66"/>
      <c r="K127" s="66"/>
      <c r="L127" s="66"/>
      <c r="M127" s="74"/>
      <c r="N127" s="66"/>
      <c r="O127" s="80"/>
      <c r="P127" s="162" t="s">
        <v>935</v>
      </c>
      <c r="Q127" s="162"/>
      <c r="R127" s="162"/>
      <c r="S127" s="72">
        <v>19</v>
      </c>
      <c r="T127" s="73">
        <v>17</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1632</v>
      </c>
      <c r="E132" s="94" t="s">
        <v>348</v>
      </c>
      <c r="F132" s="92" t="s">
        <v>1630</v>
      </c>
      <c r="G132" s="92">
        <v>5</v>
      </c>
      <c r="H132" s="92" t="s">
        <v>29</v>
      </c>
      <c r="I132" s="115" t="s">
        <v>29</v>
      </c>
      <c r="J132" s="89"/>
      <c r="K132" s="89"/>
      <c r="L132" s="89"/>
      <c r="M132" s="96" t="s">
        <v>921</v>
      </c>
      <c r="N132" s="84"/>
      <c r="O132" s="92">
        <v>1</v>
      </c>
      <c r="P132" s="93" t="s">
        <v>1633</v>
      </c>
      <c r="Q132" s="94" t="s">
        <v>109</v>
      </c>
      <c r="R132" s="92" t="s">
        <v>1631</v>
      </c>
      <c r="S132" s="92" t="s">
        <v>29</v>
      </c>
      <c r="T132" s="92">
        <v>5</v>
      </c>
      <c r="U132" s="115" t="s">
        <v>29</v>
      </c>
    </row>
    <row r="133" spans="1:21" ht="13.2" x14ac:dyDescent="0.25">
      <c r="A133" s="67" t="s">
        <v>919</v>
      </c>
      <c r="B133" s="84"/>
      <c r="C133" s="92">
        <v>2</v>
      </c>
      <c r="D133" s="93" t="s">
        <v>1634</v>
      </c>
      <c r="E133" s="97" t="s">
        <v>108</v>
      </c>
      <c r="F133" s="92" t="s">
        <v>1631</v>
      </c>
      <c r="G133" s="92" t="s">
        <v>29</v>
      </c>
      <c r="H133" s="92">
        <v>3</v>
      </c>
      <c r="I133" s="115" t="s">
        <v>29</v>
      </c>
      <c r="J133" s="89"/>
      <c r="K133" s="89"/>
      <c r="L133" s="89"/>
      <c r="M133" s="96" t="s">
        <v>921</v>
      </c>
      <c r="N133" s="84"/>
      <c r="O133" s="92">
        <v>2</v>
      </c>
      <c r="P133" s="93" t="s">
        <v>1635</v>
      </c>
      <c r="Q133" s="97" t="s">
        <v>255</v>
      </c>
      <c r="R133" s="92" t="s">
        <v>1630</v>
      </c>
      <c r="S133" s="92">
        <v>3</v>
      </c>
      <c r="T133" s="92" t="s">
        <v>29</v>
      </c>
      <c r="U133" s="115" t="s">
        <v>29</v>
      </c>
    </row>
    <row r="134" spans="1:21" ht="13.2" x14ac:dyDescent="0.25">
      <c r="A134" s="67" t="s">
        <v>919</v>
      </c>
      <c r="B134" s="84"/>
      <c r="C134" s="92">
        <v>3</v>
      </c>
      <c r="D134" s="93" t="s">
        <v>1636</v>
      </c>
      <c r="E134" s="97" t="s">
        <v>647</v>
      </c>
      <c r="F134" s="92" t="s">
        <v>1630</v>
      </c>
      <c r="G134" s="92">
        <v>1</v>
      </c>
      <c r="H134" s="92" t="s">
        <v>29</v>
      </c>
      <c r="I134" s="115" t="s">
        <v>29</v>
      </c>
      <c r="J134" s="89"/>
      <c r="K134" s="89"/>
      <c r="L134" s="89"/>
      <c r="M134" s="96" t="s">
        <v>921</v>
      </c>
      <c r="N134" s="84"/>
      <c r="O134" s="92">
        <v>3</v>
      </c>
      <c r="P134" s="93" t="s">
        <v>1637</v>
      </c>
      <c r="Q134" s="97" t="s">
        <v>649</v>
      </c>
      <c r="R134" s="92" t="s">
        <v>1630</v>
      </c>
      <c r="S134" s="92">
        <v>1</v>
      </c>
      <c r="T134" s="92" t="s">
        <v>29</v>
      </c>
      <c r="U134" s="115" t="s">
        <v>29</v>
      </c>
    </row>
    <row r="135" spans="1:21" ht="13.2" x14ac:dyDescent="0.25">
      <c r="A135" s="67" t="s">
        <v>919</v>
      </c>
      <c r="B135" s="84"/>
      <c r="C135" s="92">
        <v>4</v>
      </c>
      <c r="D135" s="93" t="s">
        <v>1638</v>
      </c>
      <c r="E135" s="97" t="s">
        <v>296</v>
      </c>
      <c r="F135" s="92" t="s">
        <v>1630</v>
      </c>
      <c r="G135" s="92" t="s">
        <v>29</v>
      </c>
      <c r="H135" s="92" t="s">
        <v>29</v>
      </c>
      <c r="I135" s="115" t="s">
        <v>29</v>
      </c>
      <c r="J135" s="89"/>
      <c r="K135" s="89"/>
      <c r="L135" s="89"/>
      <c r="M135" s="96" t="s">
        <v>921</v>
      </c>
      <c r="N135" s="84"/>
      <c r="O135" s="92">
        <v>4</v>
      </c>
      <c r="P135" s="93" t="s">
        <v>1639</v>
      </c>
      <c r="Q135" s="97" t="s">
        <v>650</v>
      </c>
      <c r="R135" s="92" t="s">
        <v>1630</v>
      </c>
      <c r="S135" s="92" t="s">
        <v>29</v>
      </c>
      <c r="T135" s="92" t="s">
        <v>29</v>
      </c>
      <c r="U135" s="115" t="s">
        <v>29</v>
      </c>
    </row>
    <row r="136" spans="1:21" ht="13.2" x14ac:dyDescent="0.25">
      <c r="A136" s="67" t="s">
        <v>919</v>
      </c>
      <c r="B136" s="84"/>
      <c r="C136" s="92">
        <v>5</v>
      </c>
      <c r="D136" s="93" t="s">
        <v>1640</v>
      </c>
      <c r="E136" s="97" t="s">
        <v>107</v>
      </c>
      <c r="F136" s="92" t="s">
        <v>1631</v>
      </c>
      <c r="G136" s="92" t="s">
        <v>29</v>
      </c>
      <c r="H136" s="92" t="s">
        <v>29</v>
      </c>
      <c r="I136" s="115" t="s">
        <v>29</v>
      </c>
      <c r="J136" s="89"/>
      <c r="K136" s="89"/>
      <c r="L136" s="89"/>
      <c r="M136" s="96" t="s">
        <v>921</v>
      </c>
      <c r="N136" s="84"/>
      <c r="O136" s="92">
        <v>5</v>
      </c>
      <c r="P136" s="93" t="s">
        <v>1641</v>
      </c>
      <c r="Q136" s="97" t="s">
        <v>651</v>
      </c>
      <c r="R136" s="92" t="s">
        <v>1630</v>
      </c>
      <c r="S136" s="92" t="s">
        <v>29</v>
      </c>
      <c r="T136" s="92" t="s">
        <v>29</v>
      </c>
      <c r="U136" s="115" t="s">
        <v>29</v>
      </c>
    </row>
    <row r="137" spans="1:21" ht="13.2" x14ac:dyDescent="0.25">
      <c r="A137" s="67" t="s">
        <v>919</v>
      </c>
      <c r="B137" s="84"/>
      <c r="C137" s="92">
        <v>6</v>
      </c>
      <c r="D137" s="93" t="s">
        <v>1642</v>
      </c>
      <c r="E137" s="97" t="s">
        <v>648</v>
      </c>
      <c r="F137" s="92" t="s">
        <v>1630</v>
      </c>
      <c r="G137" s="92" t="s">
        <v>29</v>
      </c>
      <c r="H137" s="92" t="s">
        <v>29</v>
      </c>
      <c r="I137" s="115" t="s">
        <v>29</v>
      </c>
      <c r="J137" s="89"/>
      <c r="K137" s="89"/>
      <c r="L137" s="89"/>
      <c r="M137" s="96" t="s">
        <v>921</v>
      </c>
      <c r="N137" s="84"/>
      <c r="O137" s="92">
        <v>6</v>
      </c>
      <c r="P137" s="93" t="s">
        <v>1643</v>
      </c>
      <c r="Q137" s="97" t="s">
        <v>449</v>
      </c>
      <c r="R137" s="92" t="s">
        <v>1630</v>
      </c>
      <c r="S137" s="92" t="s">
        <v>29</v>
      </c>
      <c r="T137" s="92" t="s">
        <v>29</v>
      </c>
      <c r="U137" s="115" t="s">
        <v>29</v>
      </c>
    </row>
    <row r="138" spans="1:21" ht="13.2" x14ac:dyDescent="0.25">
      <c r="A138" s="67" t="s">
        <v>919</v>
      </c>
      <c r="B138" s="84"/>
      <c r="C138" s="92">
        <v>7</v>
      </c>
      <c r="D138" s="93" t="s">
        <v>1644</v>
      </c>
      <c r="E138" s="97" t="s">
        <v>293</v>
      </c>
      <c r="F138" s="92" t="s">
        <v>1630</v>
      </c>
      <c r="G138" s="92" t="s">
        <v>29</v>
      </c>
      <c r="H138" s="92" t="s">
        <v>29</v>
      </c>
      <c r="I138" s="115" t="s">
        <v>29</v>
      </c>
      <c r="J138" s="89"/>
      <c r="K138" s="89"/>
      <c r="L138" s="89"/>
      <c r="M138" s="96" t="s">
        <v>29</v>
      </c>
      <c r="N138" s="84"/>
      <c r="O138" s="92" t="s">
        <v>29</v>
      </c>
      <c r="P138" s="93" t="s">
        <v>29</v>
      </c>
      <c r="Q138" s="97" t="s">
        <v>29</v>
      </c>
      <c r="R138" s="92" t="s">
        <v>29</v>
      </c>
      <c r="S138" s="92" t="s">
        <v>29</v>
      </c>
      <c r="T138" s="92" t="s">
        <v>29</v>
      </c>
      <c r="U138" s="115" t="s">
        <v>29</v>
      </c>
    </row>
    <row r="139" spans="1:21" ht="13.2" x14ac:dyDescent="0.25">
      <c r="A139" s="67" t="s">
        <v>29</v>
      </c>
      <c r="B139" s="84"/>
      <c r="C139" s="92" t="s">
        <v>29</v>
      </c>
      <c r="D139" s="98" t="s">
        <v>29</v>
      </c>
      <c r="E139" s="97" t="s">
        <v>29</v>
      </c>
      <c r="F139" s="92" t="s">
        <v>29</v>
      </c>
      <c r="G139" s="92" t="s">
        <v>29</v>
      </c>
      <c r="H139" s="92" t="s">
        <v>29</v>
      </c>
      <c r="I139" s="115" t="s">
        <v>29</v>
      </c>
      <c r="J139" s="89"/>
      <c r="K139" s="89"/>
      <c r="L139" s="89"/>
      <c r="M139" s="96" t="s">
        <v>29</v>
      </c>
      <c r="N139" s="84"/>
      <c r="O139" s="92" t="s">
        <v>29</v>
      </c>
      <c r="P139" s="93" t="s">
        <v>29</v>
      </c>
      <c r="Q139" s="97" t="s">
        <v>29</v>
      </c>
      <c r="R139" s="92" t="s">
        <v>29</v>
      </c>
      <c r="S139" s="92" t="s">
        <v>29</v>
      </c>
      <c r="T139" s="92" t="s">
        <v>29</v>
      </c>
      <c r="U139" s="115" t="s">
        <v>29</v>
      </c>
    </row>
    <row r="140" spans="1:21" ht="13.2" x14ac:dyDescent="0.25">
      <c r="A140" s="67" t="s">
        <v>29</v>
      </c>
      <c r="B140" s="84"/>
      <c r="C140" s="92" t="s">
        <v>29</v>
      </c>
      <c r="D140" s="98" t="s">
        <v>29</v>
      </c>
      <c r="E140" s="97" t="s">
        <v>29</v>
      </c>
      <c r="F140" s="92" t="s">
        <v>29</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29</v>
      </c>
      <c r="B141" s="84"/>
      <c r="C141" s="92" t="s">
        <v>29</v>
      </c>
      <c r="D141" s="98" t="s">
        <v>29</v>
      </c>
      <c r="E141" s="97" t="s">
        <v>29</v>
      </c>
      <c r="F141" s="92" t="s">
        <v>29</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29</v>
      </c>
      <c r="B142" s="84"/>
      <c r="C142" s="92" t="s">
        <v>29</v>
      </c>
      <c r="D142" s="98" t="s">
        <v>29</v>
      </c>
      <c r="E142" s="97" t="s">
        <v>29</v>
      </c>
      <c r="F142" s="92" t="s">
        <v>29</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29</v>
      </c>
      <c r="B143" s="84"/>
      <c r="C143" s="92" t="s">
        <v>29</v>
      </c>
      <c r="D143" s="98" t="s">
        <v>29</v>
      </c>
      <c r="E143" s="97" t="s">
        <v>29</v>
      </c>
      <c r="F143" s="92" t="s">
        <v>29</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84"/>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20"/>
      <c r="E157" s="220"/>
      <c r="F157" s="220"/>
      <c r="G157" s="99">
        <v>6</v>
      </c>
      <c r="H157" s="99">
        <v>3</v>
      </c>
      <c r="I157" s="115" t="s">
        <v>29</v>
      </c>
      <c r="J157" s="89"/>
      <c r="K157" s="89"/>
      <c r="L157" s="89"/>
      <c r="M157" s="96" t="s">
        <v>29</v>
      </c>
      <c r="N157" s="84"/>
      <c r="O157" s="219" t="s">
        <v>955</v>
      </c>
      <c r="P157" s="220"/>
      <c r="Q157" s="220"/>
      <c r="R157" s="220"/>
      <c r="S157" s="99">
        <v>4</v>
      </c>
      <c r="T157" s="99">
        <v>5</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1645</v>
      </c>
      <c r="E161" s="94" t="s">
        <v>115</v>
      </c>
      <c r="F161" s="92" t="s">
        <v>1631</v>
      </c>
      <c r="G161" s="92" t="s">
        <v>29</v>
      </c>
      <c r="H161" s="92">
        <v>5</v>
      </c>
      <c r="I161" s="116" t="s">
        <v>29</v>
      </c>
      <c r="J161" s="89"/>
      <c r="K161" s="89"/>
      <c r="L161" s="89"/>
      <c r="M161" s="96" t="s">
        <v>925</v>
      </c>
      <c r="N161" s="108"/>
      <c r="O161" s="92">
        <v>1</v>
      </c>
      <c r="P161" s="93" t="s">
        <v>1646</v>
      </c>
      <c r="Q161" s="94" t="s">
        <v>657</v>
      </c>
      <c r="R161" s="92" t="s">
        <v>1630</v>
      </c>
      <c r="S161" s="92">
        <v>5</v>
      </c>
      <c r="T161" s="92" t="s">
        <v>29</v>
      </c>
      <c r="U161" s="116" t="s">
        <v>29</v>
      </c>
    </row>
    <row r="162" spans="1:21" ht="13.2" x14ac:dyDescent="0.25">
      <c r="A162" s="67" t="s">
        <v>923</v>
      </c>
      <c r="B162" s="108"/>
      <c r="C162" s="92">
        <v>2</v>
      </c>
      <c r="D162" s="93" t="s">
        <v>1647</v>
      </c>
      <c r="E162" s="97" t="s">
        <v>116</v>
      </c>
      <c r="F162" s="92" t="s">
        <v>1631</v>
      </c>
      <c r="G162" s="92" t="s">
        <v>29</v>
      </c>
      <c r="H162" s="92">
        <v>3</v>
      </c>
      <c r="I162" s="116" t="s">
        <v>29</v>
      </c>
      <c r="J162" s="89"/>
      <c r="K162" s="89"/>
      <c r="L162" s="89"/>
      <c r="M162" s="96" t="s">
        <v>925</v>
      </c>
      <c r="N162" s="108"/>
      <c r="O162" s="92">
        <v>2</v>
      </c>
      <c r="P162" s="93" t="s">
        <v>1648</v>
      </c>
      <c r="Q162" s="97" t="s">
        <v>118</v>
      </c>
      <c r="R162" s="92" t="s">
        <v>1631</v>
      </c>
      <c r="S162" s="92" t="s">
        <v>29</v>
      </c>
      <c r="T162" s="92">
        <v>3</v>
      </c>
      <c r="U162" s="116" t="s">
        <v>29</v>
      </c>
    </row>
    <row r="163" spans="1:21" ht="13.2" x14ac:dyDescent="0.25">
      <c r="A163" s="67" t="s">
        <v>923</v>
      </c>
      <c r="B163" s="108"/>
      <c r="C163" s="92">
        <v>3</v>
      </c>
      <c r="D163" s="93" t="s">
        <v>1649</v>
      </c>
      <c r="E163" s="97" t="s">
        <v>654</v>
      </c>
      <c r="F163" s="92" t="s">
        <v>1630</v>
      </c>
      <c r="G163" s="92">
        <v>1</v>
      </c>
      <c r="H163" s="92" t="s">
        <v>29</v>
      </c>
      <c r="I163" s="116" t="s">
        <v>29</v>
      </c>
      <c r="J163" s="89"/>
      <c r="K163" s="89"/>
      <c r="L163" s="89"/>
      <c r="M163" s="96" t="s">
        <v>925</v>
      </c>
      <c r="N163" s="108"/>
      <c r="O163" s="92">
        <v>3</v>
      </c>
      <c r="P163" s="93" t="s">
        <v>1650</v>
      </c>
      <c r="Q163" s="97" t="s">
        <v>656</v>
      </c>
      <c r="R163" s="92" t="s">
        <v>1630</v>
      </c>
      <c r="S163" s="92">
        <v>1</v>
      </c>
      <c r="T163" s="92" t="s">
        <v>29</v>
      </c>
      <c r="U163" s="116" t="s">
        <v>29</v>
      </c>
    </row>
    <row r="164" spans="1:21" ht="13.2" x14ac:dyDescent="0.25">
      <c r="A164" s="67" t="s">
        <v>923</v>
      </c>
      <c r="B164" s="108"/>
      <c r="C164" s="92">
        <v>4</v>
      </c>
      <c r="D164" s="93" t="s">
        <v>1651</v>
      </c>
      <c r="E164" s="97" t="s">
        <v>114</v>
      </c>
      <c r="F164" s="92" t="s">
        <v>1631</v>
      </c>
      <c r="G164" s="92" t="s">
        <v>29</v>
      </c>
      <c r="H164" s="92" t="s">
        <v>29</v>
      </c>
      <c r="I164" s="116" t="s">
        <v>29</v>
      </c>
      <c r="J164" s="89"/>
      <c r="K164" s="89"/>
      <c r="L164" s="89"/>
      <c r="M164" s="96" t="s">
        <v>925</v>
      </c>
      <c r="N164" s="108"/>
      <c r="O164" s="92">
        <v>4</v>
      </c>
      <c r="P164" s="93" t="s">
        <v>1652</v>
      </c>
      <c r="Q164" s="97" t="s">
        <v>117</v>
      </c>
      <c r="R164" s="92" t="s">
        <v>1631</v>
      </c>
      <c r="S164" s="92" t="s">
        <v>29</v>
      </c>
      <c r="T164" s="92" t="s">
        <v>29</v>
      </c>
      <c r="U164" s="116" t="s">
        <v>29</v>
      </c>
    </row>
    <row r="165" spans="1:21" ht="13.2" x14ac:dyDescent="0.25">
      <c r="A165" s="67" t="s">
        <v>923</v>
      </c>
      <c r="B165" s="108"/>
      <c r="C165" s="92">
        <v>5</v>
      </c>
      <c r="D165" s="93" t="s">
        <v>1653</v>
      </c>
      <c r="E165" s="97" t="s">
        <v>655</v>
      </c>
      <c r="F165" s="92" t="s">
        <v>1630</v>
      </c>
      <c r="G165" s="92" t="s">
        <v>29</v>
      </c>
      <c r="H165" s="92" t="s">
        <v>29</v>
      </c>
      <c r="I165" s="116" t="s">
        <v>29</v>
      </c>
      <c r="J165" s="89"/>
      <c r="K165" s="89"/>
      <c r="L165" s="89"/>
      <c r="M165" s="96" t="s">
        <v>925</v>
      </c>
      <c r="N165" s="108"/>
      <c r="O165" s="92">
        <v>5</v>
      </c>
      <c r="P165" s="93" t="s">
        <v>1654</v>
      </c>
      <c r="Q165" s="97" t="s">
        <v>659</v>
      </c>
      <c r="R165" s="92" t="s">
        <v>1630</v>
      </c>
      <c r="S165" s="92" t="s">
        <v>29</v>
      </c>
      <c r="T165" s="92" t="s">
        <v>29</v>
      </c>
      <c r="U165" s="116" t="s">
        <v>29</v>
      </c>
    </row>
    <row r="166" spans="1:21" ht="13.2" x14ac:dyDescent="0.25">
      <c r="A166" s="67" t="s">
        <v>923</v>
      </c>
      <c r="B166" s="108"/>
      <c r="C166" s="92">
        <v>6</v>
      </c>
      <c r="D166" s="93" t="s">
        <v>1655</v>
      </c>
      <c r="E166" s="97" t="s">
        <v>585</v>
      </c>
      <c r="F166" s="92" t="s">
        <v>1630</v>
      </c>
      <c r="G166" s="92" t="s">
        <v>29</v>
      </c>
      <c r="H166" s="92" t="s">
        <v>29</v>
      </c>
      <c r="I166" s="116" t="s">
        <v>29</v>
      </c>
      <c r="J166" s="89"/>
      <c r="K166" s="89"/>
      <c r="L166" s="89"/>
      <c r="M166" s="96" t="s">
        <v>925</v>
      </c>
      <c r="N166" s="108"/>
      <c r="O166" s="92">
        <v>6</v>
      </c>
      <c r="P166" s="93" t="s">
        <v>1656</v>
      </c>
      <c r="Q166" s="97" t="s">
        <v>658</v>
      </c>
      <c r="R166" s="92" t="s">
        <v>1630</v>
      </c>
      <c r="S166" s="92" t="s">
        <v>29</v>
      </c>
      <c r="T166" s="92" t="s">
        <v>29</v>
      </c>
      <c r="U166" s="116" t="s">
        <v>29</v>
      </c>
    </row>
    <row r="167" spans="1:21" ht="13.2" x14ac:dyDescent="0.25">
      <c r="A167" s="67" t="s">
        <v>29</v>
      </c>
      <c r="B167" s="108"/>
      <c r="C167" s="92" t="s">
        <v>29</v>
      </c>
      <c r="D167" s="93" t="s">
        <v>29</v>
      </c>
      <c r="E167" s="97" t="s">
        <v>29</v>
      </c>
      <c r="F167" s="92" t="s">
        <v>29</v>
      </c>
      <c r="G167" s="92" t="s">
        <v>29</v>
      </c>
      <c r="H167" s="92" t="s">
        <v>29</v>
      </c>
      <c r="I167" s="116" t="s">
        <v>29</v>
      </c>
      <c r="J167" s="89"/>
      <c r="K167" s="89"/>
      <c r="L167" s="89"/>
      <c r="M167" s="96" t="s">
        <v>925</v>
      </c>
      <c r="N167" s="108"/>
      <c r="O167" s="92">
        <v>7</v>
      </c>
      <c r="P167" s="93" t="s">
        <v>1657</v>
      </c>
      <c r="Q167" s="97" t="s">
        <v>119</v>
      </c>
      <c r="R167" s="92" t="s">
        <v>1631</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20"/>
      <c r="E176" s="220"/>
      <c r="F176" s="222"/>
      <c r="G176" s="99">
        <v>1</v>
      </c>
      <c r="H176" s="99">
        <v>8</v>
      </c>
      <c r="I176" s="116" t="s">
        <v>29</v>
      </c>
      <c r="J176" s="89"/>
      <c r="K176" s="89"/>
      <c r="L176" s="89"/>
      <c r="M176" s="96" t="s">
        <v>29</v>
      </c>
      <c r="N176" s="108"/>
      <c r="O176" s="219" t="s">
        <v>972</v>
      </c>
      <c r="P176" s="220"/>
      <c r="Q176" s="220"/>
      <c r="R176" s="222"/>
      <c r="S176" s="99">
        <v>6</v>
      </c>
      <c r="T176" s="99">
        <v>3</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1658</v>
      </c>
      <c r="E180" s="94" t="s">
        <v>653</v>
      </c>
      <c r="F180" s="92" t="s">
        <v>1630</v>
      </c>
      <c r="G180" s="92">
        <v>5</v>
      </c>
      <c r="H180" s="92" t="s">
        <v>29</v>
      </c>
      <c r="I180" s="115" t="s">
        <v>29</v>
      </c>
      <c r="J180" s="89"/>
      <c r="K180" s="89"/>
      <c r="L180" s="89"/>
      <c r="M180" s="96" t="s">
        <v>929</v>
      </c>
      <c r="N180" s="84"/>
      <c r="O180" s="92">
        <v>1</v>
      </c>
      <c r="P180" s="93" t="s">
        <v>1659</v>
      </c>
      <c r="Q180" s="94" t="s">
        <v>112</v>
      </c>
      <c r="R180" s="92" t="s">
        <v>1631</v>
      </c>
      <c r="S180" s="92" t="s">
        <v>29</v>
      </c>
      <c r="T180" s="92">
        <v>5</v>
      </c>
      <c r="U180" s="115" t="s">
        <v>29</v>
      </c>
    </row>
    <row r="181" spans="1:21" ht="26.4" x14ac:dyDescent="0.25">
      <c r="A181" s="67" t="s">
        <v>927</v>
      </c>
      <c r="B181" s="84"/>
      <c r="C181" s="92">
        <v>2</v>
      </c>
      <c r="D181" s="93" t="s">
        <v>1660</v>
      </c>
      <c r="E181" s="97" t="s">
        <v>110</v>
      </c>
      <c r="F181" s="92" t="s">
        <v>1631</v>
      </c>
      <c r="G181" s="92" t="s">
        <v>29</v>
      </c>
      <c r="H181" s="92">
        <v>3</v>
      </c>
      <c r="I181" s="115" t="s">
        <v>29</v>
      </c>
      <c r="J181" s="89"/>
      <c r="K181" s="89"/>
      <c r="L181" s="89"/>
      <c r="M181" s="96" t="s">
        <v>929</v>
      </c>
      <c r="N181" s="84"/>
      <c r="O181" s="92">
        <v>2</v>
      </c>
      <c r="P181" s="93" t="s">
        <v>1661</v>
      </c>
      <c r="Q181" s="97" t="s">
        <v>111</v>
      </c>
      <c r="R181" s="92" t="s">
        <v>1631</v>
      </c>
      <c r="S181" s="92" t="s">
        <v>29</v>
      </c>
      <c r="T181" s="92">
        <v>3</v>
      </c>
      <c r="U181" s="115" t="s">
        <v>29</v>
      </c>
    </row>
    <row r="182" spans="1:21" ht="13.2" x14ac:dyDescent="0.25">
      <c r="A182" s="67" t="s">
        <v>29</v>
      </c>
      <c r="B182" s="84"/>
      <c r="C182" s="92" t="s">
        <v>29</v>
      </c>
      <c r="D182" s="93" t="s">
        <v>29</v>
      </c>
      <c r="E182" s="97" t="s">
        <v>29</v>
      </c>
      <c r="F182" s="92" t="s">
        <v>29</v>
      </c>
      <c r="G182" s="92" t="s">
        <v>29</v>
      </c>
      <c r="H182" s="92" t="s">
        <v>29</v>
      </c>
      <c r="I182" s="115" t="s">
        <v>29</v>
      </c>
      <c r="J182" s="89"/>
      <c r="K182" s="89"/>
      <c r="L182" s="89"/>
      <c r="M182" s="96" t="s">
        <v>929</v>
      </c>
      <c r="N182" s="84"/>
      <c r="O182" s="92">
        <v>3</v>
      </c>
      <c r="P182" s="93" t="s">
        <v>1662</v>
      </c>
      <c r="Q182" s="97" t="s">
        <v>113</v>
      </c>
      <c r="R182" s="92" t="s">
        <v>1631</v>
      </c>
      <c r="S182" s="92" t="s">
        <v>29</v>
      </c>
      <c r="T182" s="92">
        <v>1</v>
      </c>
      <c r="U182" s="115" t="s">
        <v>29</v>
      </c>
    </row>
    <row r="183" spans="1:21" ht="13.2" x14ac:dyDescent="0.25">
      <c r="A183" s="67" t="s">
        <v>29</v>
      </c>
      <c r="B183" s="84"/>
      <c r="C183" s="92" t="s">
        <v>29</v>
      </c>
      <c r="D183" s="93" t="s">
        <v>29</v>
      </c>
      <c r="E183" s="97" t="s">
        <v>29</v>
      </c>
      <c r="F183" s="92" t="s">
        <v>29</v>
      </c>
      <c r="G183" s="92" t="s">
        <v>29</v>
      </c>
      <c r="H183" s="92" t="s">
        <v>29</v>
      </c>
      <c r="I183" s="115" t="s">
        <v>29</v>
      </c>
      <c r="J183" s="89"/>
      <c r="K183" s="89"/>
      <c r="L183" s="89"/>
      <c r="M183" s="96" t="s">
        <v>929</v>
      </c>
      <c r="N183" s="84"/>
      <c r="O183" s="92">
        <v>4</v>
      </c>
      <c r="P183" s="93" t="s">
        <v>1663</v>
      </c>
      <c r="Q183" s="97" t="s">
        <v>149</v>
      </c>
      <c r="R183" s="92" t="s">
        <v>1630</v>
      </c>
      <c r="S183" s="92" t="s">
        <v>29</v>
      </c>
      <c r="T183" s="92" t="s">
        <v>29</v>
      </c>
      <c r="U183" s="115" t="s">
        <v>29</v>
      </c>
    </row>
    <row r="184" spans="1:21" ht="13.2" x14ac:dyDescent="0.25">
      <c r="A184" s="67" t="s">
        <v>29</v>
      </c>
      <c r="B184" s="84"/>
      <c r="C184" s="92" t="s">
        <v>29</v>
      </c>
      <c r="D184" s="93" t="s">
        <v>29</v>
      </c>
      <c r="E184" s="97" t="s">
        <v>29</v>
      </c>
      <c r="F184" s="92" t="s">
        <v>29</v>
      </c>
      <c r="G184" s="92" t="s">
        <v>29</v>
      </c>
      <c r="H184" s="92" t="s">
        <v>29</v>
      </c>
      <c r="I184" s="115" t="s">
        <v>29</v>
      </c>
      <c r="J184" s="89"/>
      <c r="K184" s="89"/>
      <c r="L184" s="89"/>
      <c r="M184" s="96" t="s">
        <v>929</v>
      </c>
      <c r="N184" s="84"/>
      <c r="O184" s="92">
        <v>5</v>
      </c>
      <c r="P184" s="93" t="s">
        <v>1664</v>
      </c>
      <c r="Q184" s="97" t="s">
        <v>371</v>
      </c>
      <c r="R184" s="92" t="s">
        <v>1630</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84"/>
      <c r="C187" s="92" t="s">
        <v>29</v>
      </c>
      <c r="D187" s="93" t="s">
        <v>29</v>
      </c>
      <c r="E187" s="97" t="s">
        <v>29</v>
      </c>
      <c r="F187" s="92" t="s">
        <v>29</v>
      </c>
      <c r="G187" s="92" t="s">
        <v>29</v>
      </c>
      <c r="H187" s="92" t="s">
        <v>29</v>
      </c>
      <c r="I187" s="115" t="s">
        <v>29</v>
      </c>
      <c r="J187" s="89"/>
      <c r="K187" s="89"/>
      <c r="L187" s="89"/>
      <c r="M187" s="96" t="s">
        <v>29</v>
      </c>
      <c r="N187" s="84"/>
      <c r="O187" s="92" t="s">
        <v>29</v>
      </c>
      <c r="P187" s="93" t="s">
        <v>29</v>
      </c>
      <c r="Q187" s="97" t="s">
        <v>29</v>
      </c>
      <c r="R187" s="92" t="s">
        <v>29</v>
      </c>
      <c r="S187" s="92" t="s">
        <v>29</v>
      </c>
      <c r="T187" s="92" t="s">
        <v>29</v>
      </c>
      <c r="U187" s="115" t="s">
        <v>29</v>
      </c>
    </row>
    <row r="188" spans="1:21" ht="13.2" x14ac:dyDescent="0.25">
      <c r="A188" s="67" t="s">
        <v>29</v>
      </c>
      <c r="B188" s="84"/>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84"/>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84"/>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84"/>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20"/>
      <c r="E195" s="220"/>
      <c r="F195" s="220"/>
      <c r="G195" s="99">
        <v>5</v>
      </c>
      <c r="H195" s="99">
        <v>3</v>
      </c>
      <c r="I195" s="115" t="s">
        <v>29</v>
      </c>
      <c r="J195" s="89"/>
      <c r="K195" s="89"/>
      <c r="L195" s="89"/>
      <c r="M195" s="96" t="s">
        <v>29</v>
      </c>
      <c r="N195" s="84"/>
      <c r="O195" s="219" t="s">
        <v>985</v>
      </c>
      <c r="P195" s="220"/>
      <c r="Q195" s="220"/>
      <c r="R195" s="220"/>
      <c r="S195" s="99">
        <v>0</v>
      </c>
      <c r="T195" s="99">
        <v>9</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08"/>
      <c r="C199" s="92">
        <v>1</v>
      </c>
      <c r="D199" s="93" t="s">
        <v>1665</v>
      </c>
      <c r="E199" s="94" t="s">
        <v>652</v>
      </c>
      <c r="F199" s="92" t="s">
        <v>1630</v>
      </c>
      <c r="G199" s="92">
        <v>5</v>
      </c>
      <c r="H199" s="92" t="s">
        <v>29</v>
      </c>
      <c r="I199" s="116" t="s">
        <v>64</v>
      </c>
      <c r="J199" s="89"/>
      <c r="K199" s="89"/>
      <c r="L199" s="89"/>
      <c r="M199" s="96" t="s">
        <v>933</v>
      </c>
      <c r="N199" s="108"/>
      <c r="O199" s="92">
        <v>1</v>
      </c>
      <c r="P199" s="93" t="s">
        <v>1666</v>
      </c>
      <c r="Q199" s="94" t="s">
        <v>661</v>
      </c>
      <c r="R199" s="92" t="s">
        <v>1630</v>
      </c>
      <c r="S199" s="92">
        <v>5</v>
      </c>
      <c r="T199" s="92" t="s">
        <v>29</v>
      </c>
      <c r="U199" s="116" t="s">
        <v>29</v>
      </c>
    </row>
    <row r="200" spans="1:21" ht="13.2" x14ac:dyDescent="0.25">
      <c r="A200" s="67" t="s">
        <v>931</v>
      </c>
      <c r="B200" s="108"/>
      <c r="C200" s="92">
        <v>2</v>
      </c>
      <c r="D200" s="93" t="s">
        <v>1667</v>
      </c>
      <c r="E200" s="97" t="s">
        <v>120</v>
      </c>
      <c r="F200" s="92" t="s">
        <v>1631</v>
      </c>
      <c r="G200" s="92" t="s">
        <v>29</v>
      </c>
      <c r="H200" s="92">
        <v>3</v>
      </c>
      <c r="I200" s="116" t="s">
        <v>29</v>
      </c>
      <c r="J200" s="89"/>
      <c r="K200" s="89"/>
      <c r="L200" s="89"/>
      <c r="M200" s="96" t="s">
        <v>933</v>
      </c>
      <c r="N200" s="108"/>
      <c r="O200" s="92">
        <v>2</v>
      </c>
      <c r="P200" s="93" t="s">
        <v>1668</v>
      </c>
      <c r="Q200" s="97" t="s">
        <v>660</v>
      </c>
      <c r="R200" s="92" t="s">
        <v>1630</v>
      </c>
      <c r="S200" s="92">
        <v>3</v>
      </c>
      <c r="T200" s="92" t="s">
        <v>29</v>
      </c>
      <c r="U200" s="116" t="s">
        <v>29</v>
      </c>
    </row>
    <row r="201" spans="1:21" ht="13.2" x14ac:dyDescent="0.25">
      <c r="A201" s="67" t="s">
        <v>931</v>
      </c>
      <c r="B201" s="108"/>
      <c r="C201" s="92">
        <v>3</v>
      </c>
      <c r="D201" s="93" t="s">
        <v>1669</v>
      </c>
      <c r="E201" s="97" t="s">
        <v>122</v>
      </c>
      <c r="F201" s="92" t="s">
        <v>1631</v>
      </c>
      <c r="G201" s="92" t="s">
        <v>29</v>
      </c>
      <c r="H201" s="92">
        <v>1</v>
      </c>
      <c r="I201" s="116" t="s">
        <v>29</v>
      </c>
      <c r="J201" s="89"/>
      <c r="K201" s="89"/>
      <c r="L201" s="89"/>
      <c r="M201" s="96" t="s">
        <v>933</v>
      </c>
      <c r="N201" s="108"/>
      <c r="O201" s="92">
        <v>3</v>
      </c>
      <c r="P201" s="93" t="s">
        <v>1670</v>
      </c>
      <c r="Q201" s="97" t="s">
        <v>662</v>
      </c>
      <c r="R201" s="92" t="s">
        <v>1630</v>
      </c>
      <c r="S201" s="92">
        <v>1</v>
      </c>
      <c r="T201" s="92" t="s">
        <v>29</v>
      </c>
      <c r="U201" s="116" t="s">
        <v>29</v>
      </c>
    </row>
    <row r="202" spans="1:21" ht="13.2" x14ac:dyDescent="0.25">
      <c r="A202" s="67" t="s">
        <v>931</v>
      </c>
      <c r="B202" s="108"/>
      <c r="C202" s="92">
        <v>4</v>
      </c>
      <c r="D202" s="93" t="s">
        <v>1671</v>
      </c>
      <c r="E202" s="97" t="s">
        <v>121</v>
      </c>
      <c r="F202" s="92" t="s">
        <v>1631</v>
      </c>
      <c r="G202" s="92" t="s">
        <v>29</v>
      </c>
      <c r="H202" s="92" t="s">
        <v>29</v>
      </c>
      <c r="I202" s="116" t="s">
        <v>29</v>
      </c>
      <c r="J202" s="89"/>
      <c r="K202" s="89"/>
      <c r="L202" s="89"/>
      <c r="M202" s="96" t="s">
        <v>933</v>
      </c>
      <c r="N202" s="108"/>
      <c r="O202" s="92">
        <v>4</v>
      </c>
      <c r="P202" s="93" t="s">
        <v>1672</v>
      </c>
      <c r="Q202" s="97" t="s">
        <v>123</v>
      </c>
      <c r="R202" s="92" t="s">
        <v>1631</v>
      </c>
      <c r="S202" s="92" t="s">
        <v>29</v>
      </c>
      <c r="T202" s="92" t="s">
        <v>29</v>
      </c>
      <c r="U202" s="116" t="s">
        <v>29</v>
      </c>
    </row>
    <row r="203" spans="1:21" ht="13.2" x14ac:dyDescent="0.25">
      <c r="A203" s="67" t="s">
        <v>931</v>
      </c>
      <c r="B203" s="108"/>
      <c r="C203" s="92">
        <v>5</v>
      </c>
      <c r="D203" s="93" t="s">
        <v>1673</v>
      </c>
      <c r="E203" s="97" t="s">
        <v>175</v>
      </c>
      <c r="F203" s="92" t="s">
        <v>1630</v>
      </c>
      <c r="G203" s="92" t="s">
        <v>29</v>
      </c>
      <c r="H203" s="92" t="s">
        <v>29</v>
      </c>
      <c r="I203" s="116" t="s">
        <v>29</v>
      </c>
      <c r="J203" s="89"/>
      <c r="K203" s="89"/>
      <c r="L203" s="89"/>
      <c r="M203" s="96" t="s">
        <v>29</v>
      </c>
      <c r="N203" s="108"/>
      <c r="O203" s="92" t="s">
        <v>29</v>
      </c>
      <c r="P203" s="93" t="s">
        <v>29</v>
      </c>
      <c r="Q203" s="97" t="s">
        <v>29</v>
      </c>
      <c r="R203" s="92" t="s">
        <v>29</v>
      </c>
      <c r="S203" s="92" t="s">
        <v>29</v>
      </c>
      <c r="T203" s="92" t="s">
        <v>29</v>
      </c>
      <c r="U203" s="116" t="s">
        <v>29</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20"/>
      <c r="E214" s="220"/>
      <c r="F214" s="220"/>
      <c r="G214" s="99">
        <v>5</v>
      </c>
      <c r="H214" s="99">
        <v>4</v>
      </c>
      <c r="I214" s="116" t="s">
        <v>29</v>
      </c>
      <c r="J214" s="89"/>
      <c r="K214" s="89"/>
      <c r="L214" s="89"/>
      <c r="M214" s="96" t="s">
        <v>29</v>
      </c>
      <c r="N214" s="108"/>
      <c r="O214" s="219" t="s">
        <v>996</v>
      </c>
      <c r="P214" s="220"/>
      <c r="Q214" s="220"/>
      <c r="R214" s="220"/>
      <c r="S214" s="99">
        <v>9</v>
      </c>
      <c r="T214" s="99">
        <v>0</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1674</v>
      </c>
      <c r="R216" s="220"/>
      <c r="S216" s="220"/>
      <c r="T216" s="222"/>
      <c r="U216" s="66" t="s">
        <v>29</v>
      </c>
    </row>
    <row r="217" spans="1:21" ht="13.2" x14ac:dyDescent="0.25">
      <c r="A217" s="67"/>
      <c r="B217" s="66"/>
      <c r="C217" s="245" t="s">
        <v>1675</v>
      </c>
      <c r="D217" s="227"/>
      <c r="E217" s="227"/>
      <c r="F217" s="227"/>
      <c r="G217" s="227"/>
      <c r="H217" s="228"/>
      <c r="I217" s="89" t="s">
        <v>29</v>
      </c>
      <c r="J217" s="89"/>
      <c r="K217" s="89"/>
      <c r="L217" s="89"/>
      <c r="M217" s="96"/>
      <c r="N217" s="119"/>
      <c r="O217" s="120" t="s">
        <v>1001</v>
      </c>
      <c r="P217" s="121"/>
      <c r="Q217" s="221" t="s">
        <v>1676</v>
      </c>
      <c r="R217" s="220"/>
      <c r="S217" s="220"/>
      <c r="T217" s="222"/>
      <c r="U217" s="66" t="s">
        <v>29</v>
      </c>
    </row>
    <row r="218" spans="1:21" ht="13.2" x14ac:dyDescent="0.25">
      <c r="A218" s="67"/>
      <c r="B218" s="66"/>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B219" s="66"/>
      <c r="C219" s="118" t="s">
        <v>1003</v>
      </c>
      <c r="D219" s="122"/>
      <c r="E219" s="225" t="s">
        <v>1676</v>
      </c>
      <c r="F219" s="220"/>
      <c r="G219" s="220"/>
      <c r="H219" s="222"/>
      <c r="I219" s="89" t="s">
        <v>29</v>
      </c>
      <c r="J219" s="89"/>
      <c r="K219" s="89"/>
      <c r="L219" s="89"/>
      <c r="M219" s="96"/>
      <c r="N219" s="119"/>
      <c r="O219" s="118" t="s">
        <v>1004</v>
      </c>
      <c r="P219" s="122"/>
      <c r="Q219" s="225" t="s">
        <v>1677</v>
      </c>
      <c r="R219" s="220"/>
      <c r="S219" s="220"/>
      <c r="T219" s="222"/>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27"/>
      <c r="E221" s="227"/>
      <c r="F221" s="227"/>
      <c r="G221" s="227"/>
      <c r="H221" s="228"/>
      <c r="I221" s="66" t="s">
        <v>29</v>
      </c>
      <c r="J221" s="66"/>
      <c r="K221" s="66"/>
      <c r="L221" s="66"/>
      <c r="M221" s="74"/>
      <c r="N221" s="123"/>
      <c r="O221" s="240"/>
      <c r="P221" s="227"/>
      <c r="Q221" s="227"/>
      <c r="R221" s="227"/>
      <c r="S221" s="227"/>
      <c r="T221" s="228"/>
      <c r="U221" s="66" t="s">
        <v>29</v>
      </c>
    </row>
    <row r="222" spans="1:21" ht="13.2" x14ac:dyDescent="0.25">
      <c r="A222" s="67"/>
      <c r="B222" s="66"/>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B223" s="66"/>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B224" s="66"/>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220"/>
      <c r="E229" s="271" t="s">
        <v>890</v>
      </c>
      <c r="F229" s="220"/>
      <c r="G229" s="222"/>
      <c r="H229" s="150" t="s">
        <v>1678</v>
      </c>
      <c r="I229" s="151" t="s">
        <v>29</v>
      </c>
      <c r="J229" s="152"/>
      <c r="K229" s="152"/>
      <c r="L229" s="152"/>
      <c r="M229" s="153"/>
      <c r="N229" s="64"/>
      <c r="O229" s="236" t="s">
        <v>860</v>
      </c>
      <c r="P229" s="220"/>
      <c r="Q229" s="261" t="s">
        <v>891</v>
      </c>
      <c r="R229" s="220"/>
      <c r="S229" s="222"/>
      <c r="T229" s="154" t="s">
        <v>1679</v>
      </c>
      <c r="U229" s="155" t="s">
        <v>29</v>
      </c>
    </row>
    <row r="230" spans="1:21" ht="17.399999999999999" x14ac:dyDescent="0.25">
      <c r="A230" s="67"/>
      <c r="B230" s="156"/>
      <c r="C230" s="265" t="s">
        <v>2</v>
      </c>
      <c r="D230" s="222"/>
      <c r="E230" s="266">
        <v>10</v>
      </c>
      <c r="F230" s="220"/>
      <c r="G230" s="220"/>
      <c r="H230" s="157"/>
      <c r="I230" s="151" t="s">
        <v>29</v>
      </c>
      <c r="J230" s="158"/>
      <c r="K230" s="158"/>
      <c r="L230" s="158"/>
      <c r="M230" s="159"/>
      <c r="N230" s="64"/>
      <c r="O230" s="262" t="s">
        <v>2</v>
      </c>
      <c r="P230" s="222"/>
      <c r="Q230" s="263">
        <v>50</v>
      </c>
      <c r="R230" s="220"/>
      <c r="S230" s="220"/>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B233" s="66"/>
      <c r="C233" s="68" t="s">
        <v>919</v>
      </c>
      <c r="D233" s="161" t="s">
        <v>920</v>
      </c>
      <c r="E233" s="68"/>
      <c r="F233" s="68"/>
      <c r="G233" s="78">
        <v>4</v>
      </c>
      <c r="H233" s="79">
        <v>5</v>
      </c>
      <c r="I233" s="66" t="s">
        <v>29</v>
      </c>
      <c r="J233" s="66"/>
      <c r="K233" s="66"/>
      <c r="L233" s="66"/>
      <c r="M233" s="74"/>
      <c r="N233" s="66"/>
      <c r="O233" s="68" t="s">
        <v>921</v>
      </c>
      <c r="P233" s="161" t="s">
        <v>922</v>
      </c>
      <c r="Q233" s="68"/>
      <c r="R233" s="68"/>
      <c r="S233" s="78">
        <v>4</v>
      </c>
      <c r="T233" s="79">
        <v>5</v>
      </c>
      <c r="U233" s="66" t="s">
        <v>29</v>
      </c>
    </row>
    <row r="234" spans="1:21" ht="13.2" x14ac:dyDescent="0.25">
      <c r="A234" s="67"/>
      <c r="B234" s="66"/>
      <c r="C234" s="68" t="s">
        <v>923</v>
      </c>
      <c r="D234" s="161" t="s">
        <v>924</v>
      </c>
      <c r="E234" s="68"/>
      <c r="F234" s="68"/>
      <c r="G234" s="78">
        <v>1</v>
      </c>
      <c r="H234" s="79">
        <v>8</v>
      </c>
      <c r="I234" s="66" t="s">
        <v>29</v>
      </c>
      <c r="J234" s="66"/>
      <c r="K234" s="66"/>
      <c r="L234" s="66"/>
      <c r="M234" s="74"/>
      <c r="N234" s="66"/>
      <c r="O234" s="68" t="s">
        <v>925</v>
      </c>
      <c r="P234" s="161" t="s">
        <v>926</v>
      </c>
      <c r="Q234" s="68"/>
      <c r="R234" s="68"/>
      <c r="S234" s="78">
        <v>0</v>
      </c>
      <c r="T234" s="79">
        <v>5</v>
      </c>
      <c r="U234" s="66" t="s">
        <v>29</v>
      </c>
    </row>
    <row r="235" spans="1:21" ht="13.2" x14ac:dyDescent="0.25">
      <c r="A235" s="67"/>
      <c r="B235" s="66"/>
      <c r="C235" s="68" t="s">
        <v>927</v>
      </c>
      <c r="D235" s="161" t="s">
        <v>928</v>
      </c>
      <c r="E235" s="68"/>
      <c r="F235" s="68"/>
      <c r="G235" s="78">
        <v>0</v>
      </c>
      <c r="H235" s="79">
        <v>5</v>
      </c>
      <c r="I235" s="66" t="s">
        <v>29</v>
      </c>
      <c r="J235" s="66"/>
      <c r="K235" s="66"/>
      <c r="L235" s="66"/>
      <c r="M235" s="74"/>
      <c r="N235" s="66"/>
      <c r="O235" s="68" t="s">
        <v>929</v>
      </c>
      <c r="P235" s="161" t="s">
        <v>930</v>
      </c>
      <c r="Q235" s="68"/>
      <c r="R235" s="68"/>
      <c r="S235" s="78">
        <v>0</v>
      </c>
      <c r="T235" s="79">
        <v>9</v>
      </c>
      <c r="U235" s="66" t="s">
        <v>29</v>
      </c>
    </row>
    <row r="236" spans="1:21" ht="13.2" x14ac:dyDescent="0.25">
      <c r="A236" s="67"/>
      <c r="B236" s="66"/>
      <c r="C236" s="68" t="s">
        <v>931</v>
      </c>
      <c r="D236" s="161" t="s">
        <v>932</v>
      </c>
      <c r="E236" s="68"/>
      <c r="F236" s="68"/>
      <c r="G236" s="78">
        <v>0</v>
      </c>
      <c r="H236" s="79">
        <v>5</v>
      </c>
      <c r="I236" s="66" t="s">
        <v>29</v>
      </c>
      <c r="J236" s="66"/>
      <c r="K236" s="66"/>
      <c r="L236" s="66"/>
      <c r="M236" s="74"/>
      <c r="N236" s="66"/>
      <c r="O236" s="68" t="s">
        <v>933</v>
      </c>
      <c r="P236" s="161" t="s">
        <v>934</v>
      </c>
      <c r="Q236" s="68"/>
      <c r="R236" s="68"/>
      <c r="S236" s="78">
        <v>1</v>
      </c>
      <c r="T236" s="79">
        <v>8</v>
      </c>
      <c r="U236" s="66" t="s">
        <v>29</v>
      </c>
    </row>
    <row r="237" spans="1:21" ht="13.2" x14ac:dyDescent="0.25">
      <c r="A237" s="67"/>
      <c r="B237" s="66"/>
      <c r="C237" s="80"/>
      <c r="D237" s="162" t="s">
        <v>935</v>
      </c>
      <c r="E237" s="162"/>
      <c r="F237" s="162"/>
      <c r="G237" s="72">
        <v>5</v>
      </c>
      <c r="H237" s="73">
        <v>23</v>
      </c>
      <c r="I237" s="66" t="s">
        <v>29</v>
      </c>
      <c r="J237" s="66"/>
      <c r="K237" s="66"/>
      <c r="L237" s="66"/>
      <c r="M237" s="74"/>
      <c r="N237" s="66"/>
      <c r="O237" s="80"/>
      <c r="P237" s="162" t="s">
        <v>935</v>
      </c>
      <c r="Q237" s="162"/>
      <c r="R237" s="162"/>
      <c r="S237" s="72">
        <v>5</v>
      </c>
      <c r="T237" s="73">
        <v>27</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13.2" x14ac:dyDescent="0.25">
      <c r="A242" s="67" t="s">
        <v>919</v>
      </c>
      <c r="B242" s="84"/>
      <c r="C242" s="92">
        <v>1</v>
      </c>
      <c r="D242" s="93" t="s">
        <v>1680</v>
      </c>
      <c r="E242" s="94" t="s">
        <v>464</v>
      </c>
      <c r="F242" s="92" t="s">
        <v>1679</v>
      </c>
      <c r="G242" s="92" t="s">
        <v>29</v>
      </c>
      <c r="H242" s="92">
        <v>5</v>
      </c>
      <c r="I242" s="115" t="s">
        <v>29</v>
      </c>
      <c r="J242" s="89"/>
      <c r="K242" s="89"/>
      <c r="L242" s="89"/>
      <c r="M242" s="96" t="s">
        <v>921</v>
      </c>
      <c r="N242" s="84"/>
      <c r="O242" s="92">
        <v>1</v>
      </c>
      <c r="P242" s="93" t="s">
        <v>1681</v>
      </c>
      <c r="Q242" s="94" t="s">
        <v>466</v>
      </c>
      <c r="R242" s="92" t="s">
        <v>1679</v>
      </c>
      <c r="S242" s="92" t="s">
        <v>29</v>
      </c>
      <c r="T242" s="92">
        <v>5</v>
      </c>
      <c r="U242" s="115" t="s">
        <v>29</v>
      </c>
    </row>
    <row r="243" spans="1:21" ht="13.2" x14ac:dyDescent="0.25">
      <c r="A243" s="67" t="s">
        <v>919</v>
      </c>
      <c r="B243" s="84"/>
      <c r="C243" s="92">
        <v>2</v>
      </c>
      <c r="D243" s="93" t="s">
        <v>1682</v>
      </c>
      <c r="E243" s="97" t="s">
        <v>762</v>
      </c>
      <c r="F243" s="92" t="s">
        <v>1678</v>
      </c>
      <c r="G243" s="92">
        <v>3</v>
      </c>
      <c r="H243" s="92" t="s">
        <v>29</v>
      </c>
      <c r="I243" s="115" t="s">
        <v>29</v>
      </c>
      <c r="J243" s="89"/>
      <c r="K243" s="89"/>
      <c r="L243" s="89"/>
      <c r="M243" s="96" t="s">
        <v>921</v>
      </c>
      <c r="N243" s="84"/>
      <c r="O243" s="92">
        <v>2</v>
      </c>
      <c r="P243" s="93" t="s">
        <v>1683</v>
      </c>
      <c r="Q243" s="97" t="s">
        <v>766</v>
      </c>
      <c r="R243" s="92" t="s">
        <v>1678</v>
      </c>
      <c r="S243" s="92">
        <v>3</v>
      </c>
      <c r="T243" s="92" t="s">
        <v>29</v>
      </c>
      <c r="U243" s="115" t="s">
        <v>29</v>
      </c>
    </row>
    <row r="244" spans="1:21" ht="13.2" x14ac:dyDescent="0.25">
      <c r="A244" s="67" t="s">
        <v>919</v>
      </c>
      <c r="B244" s="84"/>
      <c r="C244" s="92">
        <v>3</v>
      </c>
      <c r="D244" s="93" t="s">
        <v>1684</v>
      </c>
      <c r="E244" s="97" t="s">
        <v>763</v>
      </c>
      <c r="F244" s="92" t="s">
        <v>1678</v>
      </c>
      <c r="G244" s="92">
        <v>1</v>
      </c>
      <c r="H244" s="92" t="s">
        <v>29</v>
      </c>
      <c r="I244" s="115" t="s">
        <v>29</v>
      </c>
      <c r="J244" s="89"/>
      <c r="K244" s="89"/>
      <c r="L244" s="89"/>
      <c r="M244" s="96" t="s">
        <v>921</v>
      </c>
      <c r="N244" s="84"/>
      <c r="O244" s="92">
        <v>3</v>
      </c>
      <c r="P244" s="93" t="s">
        <v>1685</v>
      </c>
      <c r="Q244" s="97" t="s">
        <v>767</v>
      </c>
      <c r="R244" s="92" t="s">
        <v>1678</v>
      </c>
      <c r="S244" s="92">
        <v>1</v>
      </c>
      <c r="T244" s="92" t="s">
        <v>29</v>
      </c>
      <c r="U244" s="115" t="s">
        <v>29</v>
      </c>
    </row>
    <row r="245" spans="1:21" ht="13.2" x14ac:dyDescent="0.25">
      <c r="A245" s="67" t="s">
        <v>919</v>
      </c>
      <c r="B245" s="84"/>
      <c r="C245" s="92">
        <v>4</v>
      </c>
      <c r="D245" s="93" t="s">
        <v>1686</v>
      </c>
      <c r="E245" s="97" t="s">
        <v>379</v>
      </c>
      <c r="F245" s="92" t="s">
        <v>1678</v>
      </c>
      <c r="G245" s="92" t="s">
        <v>29</v>
      </c>
      <c r="H245" s="92" t="s">
        <v>29</v>
      </c>
      <c r="I245" s="115" t="s">
        <v>29</v>
      </c>
      <c r="J245" s="89"/>
      <c r="K245" s="89"/>
      <c r="L245" s="89"/>
      <c r="M245" s="96" t="s">
        <v>921</v>
      </c>
      <c r="N245" s="84"/>
      <c r="O245" s="92">
        <v>4</v>
      </c>
      <c r="P245" s="93" t="s">
        <v>1687</v>
      </c>
      <c r="Q245" s="97" t="s">
        <v>575</v>
      </c>
      <c r="R245" s="92" t="s">
        <v>1678</v>
      </c>
      <c r="S245" s="92" t="s">
        <v>29</v>
      </c>
      <c r="T245" s="92" t="s">
        <v>29</v>
      </c>
      <c r="U245" s="115" t="s">
        <v>29</v>
      </c>
    </row>
    <row r="246" spans="1:21" ht="13.2" x14ac:dyDescent="0.25">
      <c r="A246" s="67" t="s">
        <v>919</v>
      </c>
      <c r="B246" s="84"/>
      <c r="C246" s="92">
        <v>5</v>
      </c>
      <c r="D246" s="93" t="s">
        <v>1688</v>
      </c>
      <c r="E246" s="97" t="s">
        <v>765</v>
      </c>
      <c r="F246" s="92" t="s">
        <v>1678</v>
      </c>
      <c r="G246" s="92" t="s">
        <v>29</v>
      </c>
      <c r="H246" s="92" t="s">
        <v>29</v>
      </c>
      <c r="I246" s="115" t="s">
        <v>29</v>
      </c>
      <c r="J246" s="89"/>
      <c r="K246" s="89"/>
      <c r="L246" s="89"/>
      <c r="M246" s="96" t="s">
        <v>29</v>
      </c>
      <c r="N246" s="84"/>
      <c r="O246" s="92" t="s">
        <v>29</v>
      </c>
      <c r="P246" s="93" t="s">
        <v>29</v>
      </c>
      <c r="Q246" s="97" t="s">
        <v>29</v>
      </c>
      <c r="R246" s="92" t="s">
        <v>29</v>
      </c>
      <c r="S246" s="92" t="s">
        <v>29</v>
      </c>
      <c r="T246" s="92" t="s">
        <v>29</v>
      </c>
      <c r="U246" s="115" t="s">
        <v>29</v>
      </c>
    </row>
    <row r="247" spans="1:21" ht="13.2" x14ac:dyDescent="0.25">
      <c r="A247" s="67" t="s">
        <v>919</v>
      </c>
      <c r="B247" s="84"/>
      <c r="C247" s="92">
        <v>6</v>
      </c>
      <c r="D247" s="93" t="s">
        <v>1689</v>
      </c>
      <c r="E247" s="97" t="s">
        <v>764</v>
      </c>
      <c r="F247" s="92" t="s">
        <v>1678</v>
      </c>
      <c r="G247" s="92" t="s">
        <v>29</v>
      </c>
      <c r="H247" s="92" t="s">
        <v>29</v>
      </c>
      <c r="I247" s="115" t="s">
        <v>29</v>
      </c>
      <c r="J247" s="89"/>
      <c r="K247" s="89"/>
      <c r="L247" s="89"/>
      <c r="M247" s="96" t="s">
        <v>29</v>
      </c>
      <c r="N247" s="84"/>
      <c r="O247" s="92" t="s">
        <v>29</v>
      </c>
      <c r="P247" s="93" t="s">
        <v>29</v>
      </c>
      <c r="Q247" s="97" t="s">
        <v>29</v>
      </c>
      <c r="R247" s="92" t="s">
        <v>29</v>
      </c>
      <c r="S247" s="92" t="s">
        <v>29</v>
      </c>
      <c r="T247" s="92" t="s">
        <v>29</v>
      </c>
      <c r="U247" s="115" t="s">
        <v>29</v>
      </c>
    </row>
    <row r="248" spans="1:21" ht="13.2" x14ac:dyDescent="0.25">
      <c r="A248" s="67" t="s">
        <v>919</v>
      </c>
      <c r="B248" s="84"/>
      <c r="C248" s="92">
        <v>7</v>
      </c>
      <c r="D248" s="93" t="s">
        <v>1690</v>
      </c>
      <c r="E248" s="97" t="s">
        <v>463</v>
      </c>
      <c r="F248" s="92" t="s">
        <v>1679</v>
      </c>
      <c r="G248" s="92" t="s">
        <v>29</v>
      </c>
      <c r="H248" s="92" t="s">
        <v>29</v>
      </c>
      <c r="I248" s="115" t="s">
        <v>29</v>
      </c>
      <c r="J248" s="89"/>
      <c r="K248" s="89"/>
      <c r="L248" s="89"/>
      <c r="M248" s="96" t="s">
        <v>29</v>
      </c>
      <c r="N248" s="84"/>
      <c r="O248" s="92" t="s">
        <v>29</v>
      </c>
      <c r="P248" s="93" t="s">
        <v>29</v>
      </c>
      <c r="Q248" s="97" t="s">
        <v>29</v>
      </c>
      <c r="R248" s="92" t="s">
        <v>29</v>
      </c>
      <c r="S248" s="92" t="s">
        <v>29</v>
      </c>
      <c r="T248" s="92" t="s">
        <v>29</v>
      </c>
      <c r="U248" s="115" t="s">
        <v>29</v>
      </c>
    </row>
    <row r="249" spans="1:21" ht="13.2" x14ac:dyDescent="0.25">
      <c r="A249" s="67" t="s">
        <v>919</v>
      </c>
      <c r="B249" s="84"/>
      <c r="C249" s="92">
        <v>8</v>
      </c>
      <c r="D249" s="98" t="s">
        <v>1691</v>
      </c>
      <c r="E249" s="97" t="s">
        <v>761</v>
      </c>
      <c r="F249" s="92" t="s">
        <v>1678</v>
      </c>
      <c r="G249" s="92" t="s">
        <v>29</v>
      </c>
      <c r="H249" s="92" t="s">
        <v>29</v>
      </c>
      <c r="I249" s="115" t="s">
        <v>29</v>
      </c>
      <c r="J249" s="89"/>
      <c r="K249" s="89"/>
      <c r="L249" s="89"/>
      <c r="M249" s="96" t="s">
        <v>29</v>
      </c>
      <c r="N249" s="84"/>
      <c r="O249" s="92" t="s">
        <v>29</v>
      </c>
      <c r="P249" s="93" t="s">
        <v>29</v>
      </c>
      <c r="Q249" s="97" t="s">
        <v>29</v>
      </c>
      <c r="R249" s="92" t="s">
        <v>29</v>
      </c>
      <c r="S249" s="92" t="s">
        <v>29</v>
      </c>
      <c r="T249" s="92" t="s">
        <v>29</v>
      </c>
      <c r="U249" s="115" t="s">
        <v>29</v>
      </c>
    </row>
    <row r="250" spans="1:21" ht="13.2" x14ac:dyDescent="0.25">
      <c r="A250" s="67" t="s">
        <v>919</v>
      </c>
      <c r="B250" s="84"/>
      <c r="C250" s="92">
        <v>9</v>
      </c>
      <c r="D250" s="98" t="s">
        <v>1692</v>
      </c>
      <c r="E250" s="97" t="s">
        <v>465</v>
      </c>
      <c r="F250" s="92" t="s">
        <v>1679</v>
      </c>
      <c r="G250" s="92" t="s">
        <v>29</v>
      </c>
      <c r="H250" s="92" t="s">
        <v>29</v>
      </c>
      <c r="I250" s="115" t="s">
        <v>29</v>
      </c>
      <c r="J250" s="89"/>
      <c r="K250" s="89"/>
      <c r="L250" s="89"/>
      <c r="M250" s="96" t="s">
        <v>29</v>
      </c>
      <c r="N250" s="84"/>
      <c r="O250" s="92" t="s">
        <v>29</v>
      </c>
      <c r="P250" s="93" t="s">
        <v>29</v>
      </c>
      <c r="Q250" s="97" t="s">
        <v>29</v>
      </c>
      <c r="R250" s="92" t="s">
        <v>29</v>
      </c>
      <c r="S250" s="92" t="s">
        <v>29</v>
      </c>
      <c r="T250" s="92" t="s">
        <v>29</v>
      </c>
      <c r="U250" s="115" t="s">
        <v>29</v>
      </c>
    </row>
    <row r="251" spans="1:21" ht="13.2" x14ac:dyDescent="0.25">
      <c r="A251" s="67" t="s">
        <v>29</v>
      </c>
      <c r="B251" s="84"/>
      <c r="C251" s="92" t="s">
        <v>29</v>
      </c>
      <c r="D251" s="98" t="s">
        <v>29</v>
      </c>
      <c r="E251" s="97" t="s">
        <v>29</v>
      </c>
      <c r="F251" s="92" t="s">
        <v>29</v>
      </c>
      <c r="G251" s="92" t="s">
        <v>29</v>
      </c>
      <c r="H251" s="92" t="s">
        <v>29</v>
      </c>
      <c r="I251" s="115" t="s">
        <v>29</v>
      </c>
      <c r="J251" s="89"/>
      <c r="K251" s="89"/>
      <c r="L251" s="89"/>
      <c r="M251" s="96" t="s">
        <v>29</v>
      </c>
      <c r="N251" s="84"/>
      <c r="O251" s="92" t="s">
        <v>29</v>
      </c>
      <c r="P251" s="93" t="s">
        <v>29</v>
      </c>
      <c r="Q251" s="97" t="s">
        <v>29</v>
      </c>
      <c r="R251" s="92" t="s">
        <v>29</v>
      </c>
      <c r="S251" s="92" t="s">
        <v>29</v>
      </c>
      <c r="T251" s="92" t="s">
        <v>29</v>
      </c>
      <c r="U251" s="115" t="s">
        <v>29</v>
      </c>
    </row>
    <row r="252" spans="1:21" ht="13.2" x14ac:dyDescent="0.25">
      <c r="A252" s="67" t="s">
        <v>29</v>
      </c>
      <c r="B252" s="84"/>
      <c r="C252" s="92" t="s">
        <v>29</v>
      </c>
      <c r="D252" s="98" t="s">
        <v>29</v>
      </c>
      <c r="E252" s="97" t="s">
        <v>29</v>
      </c>
      <c r="F252" s="92" t="s">
        <v>29</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29</v>
      </c>
      <c r="B253" s="84"/>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20"/>
      <c r="E267" s="220"/>
      <c r="F267" s="220"/>
      <c r="G267" s="99">
        <v>4</v>
      </c>
      <c r="H267" s="99">
        <v>5</v>
      </c>
      <c r="I267" s="115" t="s">
        <v>29</v>
      </c>
      <c r="J267" s="89"/>
      <c r="K267" s="89"/>
      <c r="L267" s="89"/>
      <c r="M267" s="96" t="s">
        <v>29</v>
      </c>
      <c r="N267" s="84"/>
      <c r="O267" s="219" t="s">
        <v>955</v>
      </c>
      <c r="P267" s="220"/>
      <c r="Q267" s="220"/>
      <c r="R267" s="220"/>
      <c r="S267" s="99">
        <v>4</v>
      </c>
      <c r="T267" s="99">
        <v>5</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08"/>
      <c r="C271" s="92">
        <v>1</v>
      </c>
      <c r="D271" s="93" t="s">
        <v>1693</v>
      </c>
      <c r="E271" s="94" t="s">
        <v>471</v>
      </c>
      <c r="F271" s="92" t="s">
        <v>1679</v>
      </c>
      <c r="G271" s="92" t="s">
        <v>29</v>
      </c>
      <c r="H271" s="92">
        <v>5</v>
      </c>
      <c r="I271" s="116" t="s">
        <v>29</v>
      </c>
      <c r="J271" s="89"/>
      <c r="K271" s="89"/>
      <c r="L271" s="89"/>
      <c r="M271" s="96" t="s">
        <v>925</v>
      </c>
      <c r="N271" s="108"/>
      <c r="O271" s="92">
        <v>1</v>
      </c>
      <c r="P271" s="93" t="s">
        <v>1694</v>
      </c>
      <c r="Q271" s="94" t="s">
        <v>474</v>
      </c>
      <c r="R271" s="92" t="s">
        <v>1679</v>
      </c>
      <c r="S271" s="92" t="s">
        <v>29</v>
      </c>
      <c r="T271" s="92">
        <v>5</v>
      </c>
      <c r="U271" s="116" t="s">
        <v>29</v>
      </c>
    </row>
    <row r="272" spans="1:21" ht="13.2" x14ac:dyDescent="0.25">
      <c r="A272" s="67" t="s">
        <v>923</v>
      </c>
      <c r="B272" s="108"/>
      <c r="C272" s="92">
        <v>2</v>
      </c>
      <c r="D272" s="93" t="s">
        <v>1695</v>
      </c>
      <c r="E272" s="97" t="s">
        <v>118</v>
      </c>
      <c r="F272" s="92" t="s">
        <v>1679</v>
      </c>
      <c r="G272" s="92" t="s">
        <v>29</v>
      </c>
      <c r="H272" s="92">
        <v>3</v>
      </c>
      <c r="I272" s="116" t="s">
        <v>29</v>
      </c>
      <c r="J272" s="89"/>
      <c r="K272" s="89"/>
      <c r="L272" s="89"/>
      <c r="M272" s="96" t="s">
        <v>29</v>
      </c>
      <c r="N272" s="108"/>
      <c r="O272" s="92" t="s">
        <v>29</v>
      </c>
      <c r="P272" s="93" t="s">
        <v>29</v>
      </c>
      <c r="Q272" s="97" t="s">
        <v>29</v>
      </c>
      <c r="R272" s="92" t="s">
        <v>29</v>
      </c>
      <c r="S272" s="92" t="s">
        <v>29</v>
      </c>
      <c r="T272" s="92" t="s">
        <v>29</v>
      </c>
      <c r="U272" s="116" t="s">
        <v>29</v>
      </c>
    </row>
    <row r="273" spans="1:21" ht="13.2" x14ac:dyDescent="0.25">
      <c r="A273" s="67" t="s">
        <v>923</v>
      </c>
      <c r="B273" s="108"/>
      <c r="C273" s="92">
        <v>3</v>
      </c>
      <c r="D273" s="93" t="s">
        <v>1696</v>
      </c>
      <c r="E273" s="97" t="s">
        <v>771</v>
      </c>
      <c r="F273" s="92" t="s">
        <v>1678</v>
      </c>
      <c r="G273" s="92">
        <v>1</v>
      </c>
      <c r="H273" s="92" t="s">
        <v>29</v>
      </c>
      <c r="I273" s="116" t="s">
        <v>29</v>
      </c>
      <c r="J273" s="89"/>
      <c r="K273" s="89"/>
      <c r="L273" s="89"/>
      <c r="M273" s="96" t="s">
        <v>29</v>
      </c>
      <c r="N273" s="108"/>
      <c r="O273" s="92" t="s">
        <v>29</v>
      </c>
      <c r="P273" s="93" t="s">
        <v>29</v>
      </c>
      <c r="Q273" s="97" t="s">
        <v>29</v>
      </c>
      <c r="R273" s="92" t="s">
        <v>29</v>
      </c>
      <c r="S273" s="92" t="s">
        <v>29</v>
      </c>
      <c r="T273" s="92" t="s">
        <v>29</v>
      </c>
      <c r="U273" s="116" t="s">
        <v>29</v>
      </c>
    </row>
    <row r="274" spans="1:21" ht="13.2" x14ac:dyDescent="0.25">
      <c r="A274" s="67" t="s">
        <v>923</v>
      </c>
      <c r="B274" s="108"/>
      <c r="C274" s="92">
        <v>4</v>
      </c>
      <c r="D274" s="93" t="s">
        <v>1697</v>
      </c>
      <c r="E274" s="97" t="s">
        <v>770</v>
      </c>
      <c r="F274" s="92" t="s">
        <v>1678</v>
      </c>
      <c r="G274" s="92" t="s">
        <v>29</v>
      </c>
      <c r="H274" s="92" t="s">
        <v>29</v>
      </c>
      <c r="I274" s="116" t="s">
        <v>29</v>
      </c>
      <c r="J274" s="89"/>
      <c r="K274" s="89"/>
      <c r="L274" s="89"/>
      <c r="M274" s="96" t="s">
        <v>29</v>
      </c>
      <c r="N274" s="108"/>
      <c r="O274" s="92" t="s">
        <v>29</v>
      </c>
      <c r="P274" s="93" t="s">
        <v>29</v>
      </c>
      <c r="Q274" s="97" t="s">
        <v>29</v>
      </c>
      <c r="R274" s="92" t="s">
        <v>29</v>
      </c>
      <c r="S274" s="92" t="s">
        <v>29</v>
      </c>
      <c r="T274" s="92" t="s">
        <v>29</v>
      </c>
      <c r="U274" s="116" t="s">
        <v>29</v>
      </c>
    </row>
    <row r="275" spans="1:21" ht="13.2" x14ac:dyDescent="0.25">
      <c r="A275" s="67" t="s">
        <v>923</v>
      </c>
      <c r="B275" s="108"/>
      <c r="C275" s="92">
        <v>5</v>
      </c>
      <c r="D275" s="93" t="s">
        <v>1698</v>
      </c>
      <c r="E275" s="97" t="s">
        <v>472</v>
      </c>
      <c r="F275" s="92" t="s">
        <v>1679</v>
      </c>
      <c r="G275" s="92" t="s">
        <v>29</v>
      </c>
      <c r="H275" s="92" t="s">
        <v>29</v>
      </c>
      <c r="I275" s="116" t="s">
        <v>29</v>
      </c>
      <c r="J275" s="89"/>
      <c r="K275" s="89"/>
      <c r="L275" s="89"/>
      <c r="M275" s="96" t="s">
        <v>29</v>
      </c>
      <c r="N275" s="108"/>
      <c r="O275" s="92" t="s">
        <v>29</v>
      </c>
      <c r="P275" s="93" t="s">
        <v>29</v>
      </c>
      <c r="Q275" s="97" t="s">
        <v>29</v>
      </c>
      <c r="R275" s="92" t="s">
        <v>29</v>
      </c>
      <c r="S275" s="92" t="s">
        <v>29</v>
      </c>
      <c r="T275" s="92" t="s">
        <v>29</v>
      </c>
      <c r="U275" s="116" t="s">
        <v>29</v>
      </c>
    </row>
    <row r="276" spans="1:21" ht="13.2" x14ac:dyDescent="0.25">
      <c r="A276" s="67" t="s">
        <v>923</v>
      </c>
      <c r="B276" s="108"/>
      <c r="C276" s="92">
        <v>6</v>
      </c>
      <c r="D276" s="93" t="s">
        <v>1699</v>
      </c>
      <c r="E276" s="97" t="s">
        <v>473</v>
      </c>
      <c r="F276" s="92" t="s">
        <v>1679</v>
      </c>
      <c r="G276" s="92" t="s">
        <v>29</v>
      </c>
      <c r="H276" s="92" t="s">
        <v>29</v>
      </c>
      <c r="I276" s="116" t="s">
        <v>29</v>
      </c>
      <c r="J276" s="89"/>
      <c r="K276" s="89"/>
      <c r="L276" s="89"/>
      <c r="M276" s="96" t="s">
        <v>29</v>
      </c>
      <c r="N276" s="108"/>
      <c r="O276" s="92" t="s">
        <v>29</v>
      </c>
      <c r="P276" s="93" t="s">
        <v>29</v>
      </c>
      <c r="Q276" s="97" t="s">
        <v>29</v>
      </c>
      <c r="R276" s="92" t="s">
        <v>29</v>
      </c>
      <c r="S276" s="92" t="s">
        <v>29</v>
      </c>
      <c r="T276" s="92" t="s">
        <v>29</v>
      </c>
      <c r="U276" s="116" t="s">
        <v>29</v>
      </c>
    </row>
    <row r="277" spans="1:21" ht="13.2" x14ac:dyDescent="0.25">
      <c r="A277" s="67" t="s">
        <v>923</v>
      </c>
      <c r="B277" s="108"/>
      <c r="C277" s="92">
        <v>7</v>
      </c>
      <c r="D277" s="93" t="s">
        <v>1700</v>
      </c>
      <c r="E277" s="97" t="s">
        <v>470</v>
      </c>
      <c r="F277" s="92" t="s">
        <v>1679</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20"/>
      <c r="E286" s="220"/>
      <c r="F286" s="222"/>
      <c r="G286" s="99">
        <v>1</v>
      </c>
      <c r="H286" s="99">
        <v>8</v>
      </c>
      <c r="I286" s="116" t="s">
        <v>29</v>
      </c>
      <c r="J286" s="89"/>
      <c r="K286" s="89"/>
      <c r="L286" s="89"/>
      <c r="M286" s="96" t="s">
        <v>29</v>
      </c>
      <c r="N286" s="108"/>
      <c r="O286" s="219" t="s">
        <v>972</v>
      </c>
      <c r="P286" s="220"/>
      <c r="Q286" s="220"/>
      <c r="R286" s="222"/>
      <c r="S286" s="99">
        <v>0</v>
      </c>
      <c r="T286" s="99">
        <v>5</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1701</v>
      </c>
      <c r="E290" s="94" t="s">
        <v>467</v>
      </c>
      <c r="F290" s="92" t="s">
        <v>1679</v>
      </c>
      <c r="G290" s="92" t="s">
        <v>29</v>
      </c>
      <c r="H290" s="92">
        <v>5</v>
      </c>
      <c r="I290" s="115" t="s">
        <v>29</v>
      </c>
      <c r="J290" s="89"/>
      <c r="K290" s="89"/>
      <c r="L290" s="89"/>
      <c r="M290" s="96" t="s">
        <v>929</v>
      </c>
      <c r="N290" s="84"/>
      <c r="O290" s="92">
        <v>1</v>
      </c>
      <c r="P290" s="93" t="s">
        <v>1702</v>
      </c>
      <c r="Q290" s="94" t="s">
        <v>415</v>
      </c>
      <c r="R290" s="92" t="s">
        <v>1679</v>
      </c>
      <c r="S290" s="92" t="s">
        <v>29</v>
      </c>
      <c r="T290" s="92">
        <v>5</v>
      </c>
      <c r="U290" s="115" t="s">
        <v>29</v>
      </c>
    </row>
    <row r="291" spans="1:21" ht="13.2" x14ac:dyDescent="0.25">
      <c r="A291" s="67" t="s">
        <v>29</v>
      </c>
      <c r="B291" s="84"/>
      <c r="C291" s="92" t="s">
        <v>29</v>
      </c>
      <c r="D291" s="93" t="s">
        <v>29</v>
      </c>
      <c r="E291" s="97" t="s">
        <v>29</v>
      </c>
      <c r="F291" s="92" t="s">
        <v>29</v>
      </c>
      <c r="G291" s="92" t="s">
        <v>29</v>
      </c>
      <c r="H291" s="92" t="s">
        <v>29</v>
      </c>
      <c r="I291" s="115" t="s">
        <v>29</v>
      </c>
      <c r="J291" s="89"/>
      <c r="K291" s="89"/>
      <c r="L291" s="89"/>
      <c r="M291" s="96" t="s">
        <v>929</v>
      </c>
      <c r="N291" s="84"/>
      <c r="O291" s="92">
        <v>2</v>
      </c>
      <c r="P291" s="93" t="s">
        <v>1703</v>
      </c>
      <c r="Q291" s="97" t="s">
        <v>468</v>
      </c>
      <c r="R291" s="92" t="s">
        <v>1679</v>
      </c>
      <c r="S291" s="92" t="s">
        <v>29</v>
      </c>
      <c r="T291" s="92">
        <v>3</v>
      </c>
      <c r="U291" s="115" t="s">
        <v>29</v>
      </c>
    </row>
    <row r="292" spans="1:21" ht="13.2" x14ac:dyDescent="0.25">
      <c r="A292" s="67" t="s">
        <v>29</v>
      </c>
      <c r="B292" s="84"/>
      <c r="C292" s="92" t="s">
        <v>29</v>
      </c>
      <c r="D292" s="93" t="s">
        <v>29</v>
      </c>
      <c r="E292" s="97" t="s">
        <v>29</v>
      </c>
      <c r="F292" s="92" t="s">
        <v>29</v>
      </c>
      <c r="G292" s="92" t="s">
        <v>29</v>
      </c>
      <c r="H292" s="92" t="s">
        <v>29</v>
      </c>
      <c r="I292" s="115" t="s">
        <v>29</v>
      </c>
      <c r="J292" s="89"/>
      <c r="K292" s="89"/>
      <c r="L292" s="89"/>
      <c r="M292" s="96" t="s">
        <v>929</v>
      </c>
      <c r="N292" s="84"/>
      <c r="O292" s="92">
        <v>3</v>
      </c>
      <c r="P292" s="93" t="s">
        <v>1704</v>
      </c>
      <c r="Q292" s="97" t="s">
        <v>469</v>
      </c>
      <c r="R292" s="92" t="s">
        <v>1679</v>
      </c>
      <c r="S292" s="92" t="s">
        <v>29</v>
      </c>
      <c r="T292" s="92">
        <v>1</v>
      </c>
      <c r="U292" s="115" t="s">
        <v>29</v>
      </c>
    </row>
    <row r="293" spans="1:21" ht="13.2" x14ac:dyDescent="0.25">
      <c r="A293" s="67" t="s">
        <v>29</v>
      </c>
      <c r="B293" s="84"/>
      <c r="C293" s="92" t="s">
        <v>29</v>
      </c>
      <c r="D293" s="93" t="s">
        <v>29</v>
      </c>
      <c r="E293" s="97" t="s">
        <v>29</v>
      </c>
      <c r="F293" s="92" t="s">
        <v>29</v>
      </c>
      <c r="G293" s="92" t="s">
        <v>29</v>
      </c>
      <c r="H293" s="92" t="s">
        <v>29</v>
      </c>
      <c r="I293" s="115" t="s">
        <v>29</v>
      </c>
      <c r="J293" s="89"/>
      <c r="K293" s="89"/>
      <c r="L293" s="89"/>
      <c r="M293" s="96" t="s">
        <v>929</v>
      </c>
      <c r="N293" s="84"/>
      <c r="O293" s="92">
        <v>4</v>
      </c>
      <c r="P293" s="93" t="s">
        <v>1705</v>
      </c>
      <c r="Q293" s="97" t="s">
        <v>768</v>
      </c>
      <c r="R293" s="92" t="s">
        <v>1678</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929</v>
      </c>
      <c r="N294" s="84"/>
      <c r="O294" s="92">
        <v>5</v>
      </c>
      <c r="P294" s="93" t="s">
        <v>1706</v>
      </c>
      <c r="Q294" s="97" t="s">
        <v>769</v>
      </c>
      <c r="R294" s="92" t="s">
        <v>1678</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20"/>
      <c r="E305" s="220"/>
      <c r="F305" s="220"/>
      <c r="G305" s="99">
        <v>0</v>
      </c>
      <c r="H305" s="99">
        <v>5</v>
      </c>
      <c r="I305" s="115" t="s">
        <v>29</v>
      </c>
      <c r="J305" s="89"/>
      <c r="K305" s="89"/>
      <c r="L305" s="89"/>
      <c r="M305" s="96" t="s">
        <v>29</v>
      </c>
      <c r="N305" s="84"/>
      <c r="O305" s="219" t="s">
        <v>985</v>
      </c>
      <c r="P305" s="220"/>
      <c r="Q305" s="220"/>
      <c r="R305" s="220"/>
      <c r="S305" s="99">
        <v>0</v>
      </c>
      <c r="T305" s="99">
        <v>9</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1707</v>
      </c>
      <c r="E309" s="94" t="s">
        <v>475</v>
      </c>
      <c r="F309" s="92" t="s">
        <v>1679</v>
      </c>
      <c r="G309" s="92" t="s">
        <v>29</v>
      </c>
      <c r="H309" s="92">
        <v>5</v>
      </c>
      <c r="I309" s="116" t="s">
        <v>29</v>
      </c>
      <c r="J309" s="89"/>
      <c r="K309" s="89"/>
      <c r="L309" s="89"/>
      <c r="M309" s="96" t="s">
        <v>933</v>
      </c>
      <c r="N309" s="108"/>
      <c r="O309" s="92">
        <v>1</v>
      </c>
      <c r="P309" s="93" t="s">
        <v>1708</v>
      </c>
      <c r="Q309" s="94" t="s">
        <v>476</v>
      </c>
      <c r="R309" s="92" t="s">
        <v>1679</v>
      </c>
      <c r="S309" s="92" t="s">
        <v>29</v>
      </c>
      <c r="T309" s="92">
        <v>5</v>
      </c>
      <c r="U309" s="116" t="s">
        <v>29</v>
      </c>
    </row>
    <row r="310" spans="1:21" ht="13.2" x14ac:dyDescent="0.25">
      <c r="A310" s="67" t="s">
        <v>29</v>
      </c>
      <c r="B310" s="108"/>
      <c r="C310" s="92" t="s">
        <v>29</v>
      </c>
      <c r="D310" s="93" t="s">
        <v>29</v>
      </c>
      <c r="E310" s="97" t="s">
        <v>29</v>
      </c>
      <c r="F310" s="92" t="s">
        <v>29</v>
      </c>
      <c r="G310" s="92" t="s">
        <v>29</v>
      </c>
      <c r="H310" s="92" t="s">
        <v>29</v>
      </c>
      <c r="I310" s="116" t="s">
        <v>29</v>
      </c>
      <c r="J310" s="89"/>
      <c r="K310" s="89"/>
      <c r="L310" s="89"/>
      <c r="M310" s="96" t="s">
        <v>933</v>
      </c>
      <c r="N310" s="108"/>
      <c r="O310" s="92">
        <v>2</v>
      </c>
      <c r="P310" s="93" t="s">
        <v>1709</v>
      </c>
      <c r="Q310" s="97" t="s">
        <v>477</v>
      </c>
      <c r="R310" s="92" t="s">
        <v>1679</v>
      </c>
      <c r="S310" s="92" t="s">
        <v>29</v>
      </c>
      <c r="T310" s="92">
        <v>3</v>
      </c>
      <c r="U310" s="116" t="s">
        <v>29</v>
      </c>
    </row>
    <row r="311" spans="1:21" ht="13.2" x14ac:dyDescent="0.25">
      <c r="A311" s="67" t="s">
        <v>29</v>
      </c>
      <c r="B311" s="108"/>
      <c r="C311" s="92" t="s">
        <v>29</v>
      </c>
      <c r="D311" s="93" t="s">
        <v>29</v>
      </c>
      <c r="E311" s="97" t="s">
        <v>29</v>
      </c>
      <c r="F311" s="92" t="s">
        <v>29</v>
      </c>
      <c r="G311" s="92" t="s">
        <v>29</v>
      </c>
      <c r="H311" s="92" t="s">
        <v>29</v>
      </c>
      <c r="I311" s="116" t="s">
        <v>29</v>
      </c>
      <c r="J311" s="89"/>
      <c r="K311" s="89"/>
      <c r="L311" s="89"/>
      <c r="M311" s="96" t="s">
        <v>933</v>
      </c>
      <c r="N311" s="108"/>
      <c r="O311" s="92">
        <v>3</v>
      </c>
      <c r="P311" s="93" t="s">
        <v>1710</v>
      </c>
      <c r="Q311" s="97" t="s">
        <v>620</v>
      </c>
      <c r="R311" s="92" t="s">
        <v>1678</v>
      </c>
      <c r="S311" s="92">
        <v>1</v>
      </c>
      <c r="T311" s="92" t="s">
        <v>29</v>
      </c>
      <c r="U311" s="116" t="s">
        <v>29</v>
      </c>
    </row>
    <row r="312" spans="1:21" ht="13.2" x14ac:dyDescent="0.25">
      <c r="A312" s="67" t="s">
        <v>29</v>
      </c>
      <c r="B312" s="108"/>
      <c r="C312" s="92" t="s">
        <v>29</v>
      </c>
      <c r="D312" s="93" t="s">
        <v>29</v>
      </c>
      <c r="E312" s="97" t="s">
        <v>29</v>
      </c>
      <c r="F312" s="92" t="s">
        <v>29</v>
      </c>
      <c r="G312" s="92" t="s">
        <v>29</v>
      </c>
      <c r="H312" s="92" t="s">
        <v>29</v>
      </c>
      <c r="I312" s="116" t="s">
        <v>29</v>
      </c>
      <c r="J312" s="89"/>
      <c r="K312" s="89"/>
      <c r="L312" s="89"/>
      <c r="M312" s="96" t="s">
        <v>29</v>
      </c>
      <c r="N312" s="108"/>
      <c r="O312" s="92" t="s">
        <v>29</v>
      </c>
      <c r="P312" s="93" t="s">
        <v>29</v>
      </c>
      <c r="Q312" s="97" t="s">
        <v>29</v>
      </c>
      <c r="R312" s="92" t="s">
        <v>29</v>
      </c>
      <c r="S312" s="92" t="s">
        <v>29</v>
      </c>
      <c r="T312" s="92" t="s">
        <v>29</v>
      </c>
      <c r="U312" s="116" t="s">
        <v>29</v>
      </c>
    </row>
    <row r="313" spans="1:21" ht="13.2" x14ac:dyDescent="0.25">
      <c r="A313" s="67" t="s">
        <v>29</v>
      </c>
      <c r="B313" s="108"/>
      <c r="C313" s="92" t="s">
        <v>29</v>
      </c>
      <c r="D313" s="93" t="s">
        <v>29</v>
      </c>
      <c r="E313" s="97" t="s">
        <v>29</v>
      </c>
      <c r="F313" s="92" t="s">
        <v>29</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29</v>
      </c>
      <c r="B314" s="108"/>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20"/>
      <c r="E324" s="220"/>
      <c r="F324" s="220"/>
      <c r="G324" s="99">
        <v>0</v>
      </c>
      <c r="H324" s="99">
        <v>5</v>
      </c>
      <c r="I324" s="116" t="s">
        <v>29</v>
      </c>
      <c r="J324" s="89"/>
      <c r="K324" s="89"/>
      <c r="L324" s="89"/>
      <c r="M324" s="96" t="s">
        <v>29</v>
      </c>
      <c r="N324" s="108"/>
      <c r="O324" s="219" t="s">
        <v>996</v>
      </c>
      <c r="P324" s="220"/>
      <c r="Q324" s="220"/>
      <c r="R324" s="220"/>
      <c r="S324" s="99">
        <v>1</v>
      </c>
      <c r="T324" s="99">
        <v>8</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1711</v>
      </c>
      <c r="R326" s="220"/>
      <c r="S326" s="220"/>
      <c r="T326" s="222"/>
      <c r="U326" s="66" t="s">
        <v>29</v>
      </c>
    </row>
    <row r="327" spans="1:21" ht="13.2" x14ac:dyDescent="0.25">
      <c r="A327" s="67"/>
      <c r="B327" s="66"/>
      <c r="C327" s="245" t="s">
        <v>1712</v>
      </c>
      <c r="D327" s="227"/>
      <c r="E327" s="227"/>
      <c r="F327" s="227"/>
      <c r="G327" s="227"/>
      <c r="H327" s="228"/>
      <c r="I327" s="89" t="s">
        <v>29</v>
      </c>
      <c r="J327" s="89"/>
      <c r="K327" s="89"/>
      <c r="L327" s="89"/>
      <c r="M327" s="96"/>
      <c r="N327" s="119"/>
      <c r="O327" s="120" t="s">
        <v>1001</v>
      </c>
      <c r="P327" s="121"/>
      <c r="Q327" s="221" t="s">
        <v>1713</v>
      </c>
      <c r="R327" s="220"/>
      <c r="S327" s="220"/>
      <c r="T327" s="222"/>
      <c r="U327" s="66" t="s">
        <v>29</v>
      </c>
    </row>
    <row r="328" spans="1:21" ht="13.2" x14ac:dyDescent="0.25">
      <c r="A328" s="67"/>
      <c r="B328" s="66"/>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B329" s="66"/>
      <c r="C329" s="118" t="s">
        <v>1003</v>
      </c>
      <c r="D329" s="122"/>
      <c r="E329" s="225" t="s">
        <v>1713</v>
      </c>
      <c r="F329" s="220"/>
      <c r="G329" s="220"/>
      <c r="H329" s="222"/>
      <c r="I329" s="89" t="s">
        <v>29</v>
      </c>
      <c r="J329" s="89"/>
      <c r="K329" s="89"/>
      <c r="L329" s="89"/>
      <c r="M329" s="96"/>
      <c r="N329" s="119"/>
      <c r="O329" s="118" t="s">
        <v>1004</v>
      </c>
      <c r="P329" s="122"/>
      <c r="Q329" s="225" t="s">
        <v>1714</v>
      </c>
      <c r="R329" s="220"/>
      <c r="S329" s="220"/>
      <c r="T329" s="222"/>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42"/>
      <c r="D331" s="227"/>
      <c r="E331" s="227"/>
      <c r="F331" s="227"/>
      <c r="G331" s="227"/>
      <c r="H331" s="228"/>
      <c r="I331" s="66" t="s">
        <v>29</v>
      </c>
      <c r="J331" s="66"/>
      <c r="K331" s="66"/>
      <c r="L331" s="66"/>
      <c r="M331" s="74"/>
      <c r="N331" s="123"/>
      <c r="O331" s="240"/>
      <c r="P331" s="227"/>
      <c r="Q331" s="227"/>
      <c r="R331" s="227"/>
      <c r="S331" s="227"/>
      <c r="T331" s="228"/>
      <c r="U331" s="66" t="s">
        <v>29</v>
      </c>
    </row>
    <row r="332" spans="1:21" ht="13.2" x14ac:dyDescent="0.25">
      <c r="B332" s="66"/>
      <c r="C332" s="229"/>
      <c r="D332" s="224"/>
      <c r="E332" s="224"/>
      <c r="F332" s="224"/>
      <c r="G332" s="224"/>
      <c r="H332" s="230"/>
      <c r="I332" s="66" t="s">
        <v>29</v>
      </c>
      <c r="J332" s="66"/>
      <c r="K332" s="66"/>
      <c r="L332" s="66"/>
      <c r="M332" s="74"/>
      <c r="N332" s="123"/>
      <c r="O332" s="229"/>
      <c r="P332" s="224"/>
      <c r="Q332" s="224"/>
      <c r="R332" s="224"/>
      <c r="S332" s="224"/>
      <c r="T332" s="230"/>
      <c r="U332" s="66" t="s">
        <v>29</v>
      </c>
    </row>
    <row r="333" spans="1:21" ht="13.2" x14ac:dyDescent="0.25">
      <c r="B333" s="66"/>
      <c r="C333" s="229"/>
      <c r="D333" s="224"/>
      <c r="E333" s="224"/>
      <c r="F333" s="224"/>
      <c r="G333" s="224"/>
      <c r="H333" s="230"/>
      <c r="I333" s="66" t="s">
        <v>29</v>
      </c>
      <c r="J333" s="66"/>
      <c r="K333" s="66"/>
      <c r="L333" s="66"/>
      <c r="M333" s="74"/>
      <c r="N333" s="123"/>
      <c r="O333" s="229"/>
      <c r="P333" s="224"/>
      <c r="Q333" s="224"/>
      <c r="R333" s="224"/>
      <c r="S333" s="224"/>
      <c r="T333" s="230"/>
      <c r="U333" s="66" t="s">
        <v>29</v>
      </c>
    </row>
    <row r="334" spans="1:21" ht="13.2" x14ac:dyDescent="0.25">
      <c r="B334" s="66"/>
      <c r="C334" s="231"/>
      <c r="D334" s="232"/>
      <c r="E334" s="232"/>
      <c r="F334" s="232"/>
      <c r="G334" s="232"/>
      <c r="H334" s="233"/>
      <c r="I334" s="66" t="s">
        <v>29</v>
      </c>
      <c r="J334" s="66"/>
      <c r="K334" s="66"/>
      <c r="L334" s="66"/>
      <c r="M334" s="74"/>
      <c r="N334" s="123"/>
      <c r="O334" s="231"/>
      <c r="P334" s="232"/>
      <c r="Q334" s="232"/>
      <c r="R334" s="232"/>
      <c r="S334" s="232"/>
      <c r="T334" s="233"/>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9" priority="1" operator="equal">
      <formula>0</formula>
    </cfRule>
  </conditionalFormatting>
  <hyperlinks>
    <hyperlink ref="B3" location="null!a6" display="1" xr:uid="{00000000-0004-0000-0600-000000000000}"/>
    <hyperlink ref="D3" location="null!a6" display="CP-Crosspointe" xr:uid="{00000000-0004-0000-0600-000001000000}"/>
    <hyperlink ref="P3" location="null!a6" display="CCC-Camelot Community Club" xr:uid="{00000000-0004-0000-0600-000002000000}"/>
    <hyperlink ref="B4" location="null!a116" display="2" xr:uid="{00000000-0004-0000-0600-000003000000}"/>
    <hyperlink ref="D4" location="null!a116" display="R-Ravensworth Farm" xr:uid="{00000000-0004-0000-0600-000004000000}"/>
    <hyperlink ref="P4" location="null!a116" display="CH-Cardinal Hill" xr:uid="{00000000-0004-0000-0600-000005000000}"/>
    <hyperlink ref="B5" location="null!a226" display="3" xr:uid="{00000000-0004-0000-0600-000006000000}"/>
    <hyperlink ref="D5" location="null!a226" display="SR-Sideburn Run" xr:uid="{00000000-0004-0000-0600-000007000000}"/>
    <hyperlink ref="P5" location="null!a226" display="LV-Lakeview" xr:uid="{00000000-0004-0000-0600-000008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20.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7.200000000000003" customHeight="1" x14ac:dyDescent="0.45">
      <c r="A1" s="42" t="s">
        <v>29</v>
      </c>
      <c r="B1" s="43"/>
      <c r="C1" s="6"/>
      <c r="D1" s="44">
        <v>45461</v>
      </c>
      <c r="E1" s="8"/>
      <c r="F1" s="45" t="s">
        <v>911</v>
      </c>
      <c r="G1" s="9"/>
      <c r="H1" s="8"/>
      <c r="I1" s="10"/>
      <c r="J1" s="10"/>
      <c r="K1" s="10"/>
      <c r="L1" s="10"/>
      <c r="M1" s="10"/>
      <c r="N1" s="10"/>
      <c r="O1" s="10"/>
      <c r="P1" s="10"/>
      <c r="Q1" s="46" t="s">
        <v>1</v>
      </c>
      <c r="R1" s="246">
        <v>6</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72" t="s">
        <v>892</v>
      </c>
      <c r="E3" s="222"/>
      <c r="F3" s="251">
        <v>32</v>
      </c>
      <c r="G3" s="220"/>
      <c r="H3" s="222"/>
      <c r="I3" s="48">
        <v>0</v>
      </c>
      <c r="J3" s="8"/>
      <c r="K3" s="49">
        <v>15</v>
      </c>
      <c r="L3" s="50" t="s">
        <v>11</v>
      </c>
      <c r="M3" s="8"/>
      <c r="N3" s="51">
        <v>20</v>
      </c>
      <c r="O3" s="8"/>
      <c r="P3" s="273" t="s">
        <v>893</v>
      </c>
      <c r="Q3" s="220"/>
      <c r="R3" s="253">
        <v>34</v>
      </c>
      <c r="S3" s="220"/>
      <c r="T3" s="222"/>
      <c r="U3" s="48">
        <v>0</v>
      </c>
    </row>
    <row r="4" spans="1:21" ht="15.6" x14ac:dyDescent="0.3">
      <c r="A4" s="47">
        <v>2</v>
      </c>
      <c r="B4" s="27">
        <v>2</v>
      </c>
      <c r="C4" s="52"/>
      <c r="D4" s="272" t="s">
        <v>894</v>
      </c>
      <c r="E4" s="222"/>
      <c r="F4" s="251">
        <v>33</v>
      </c>
      <c r="G4" s="220"/>
      <c r="H4" s="220"/>
      <c r="I4" s="48">
        <v>0</v>
      </c>
      <c r="J4" s="31"/>
      <c r="K4" s="49">
        <v>19</v>
      </c>
      <c r="L4" s="50" t="s">
        <v>11</v>
      </c>
      <c r="M4" s="31"/>
      <c r="N4" s="51">
        <v>20</v>
      </c>
      <c r="O4" s="53"/>
      <c r="P4" s="273" t="s">
        <v>895</v>
      </c>
      <c r="Q4" s="220"/>
      <c r="R4" s="253">
        <v>30</v>
      </c>
      <c r="S4" s="220"/>
      <c r="T4" s="220"/>
      <c r="U4" s="48">
        <v>0</v>
      </c>
    </row>
    <row r="5" spans="1:21" ht="15.6" x14ac:dyDescent="0.3">
      <c r="A5" s="47">
        <v>3</v>
      </c>
      <c r="B5" s="27">
        <v>3</v>
      </c>
      <c r="C5" s="52"/>
      <c r="D5" s="275" t="s">
        <v>896</v>
      </c>
      <c r="E5" s="228"/>
      <c r="F5" s="251">
        <v>21</v>
      </c>
      <c r="G5" s="220"/>
      <c r="H5" s="222"/>
      <c r="I5" s="48">
        <v>0</v>
      </c>
      <c r="J5" s="31"/>
      <c r="K5" s="49">
        <v>12</v>
      </c>
      <c r="L5" s="50" t="s">
        <v>11</v>
      </c>
      <c r="M5" s="31"/>
      <c r="N5" s="51">
        <v>20</v>
      </c>
      <c r="O5" s="53"/>
      <c r="P5" s="274" t="s">
        <v>897</v>
      </c>
      <c r="Q5" s="227"/>
      <c r="R5" s="255">
        <v>48</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257" t="s">
        <v>859</v>
      </c>
      <c r="D9" s="220"/>
      <c r="E9" s="267" t="s">
        <v>892</v>
      </c>
      <c r="F9" s="220"/>
      <c r="G9" s="222"/>
      <c r="H9" s="140" t="s">
        <v>1715</v>
      </c>
      <c r="I9" s="141"/>
      <c r="J9" s="63"/>
      <c r="K9" s="63"/>
      <c r="L9" s="63"/>
      <c r="M9" s="63"/>
      <c r="N9" s="142"/>
      <c r="O9" s="236" t="s">
        <v>860</v>
      </c>
      <c r="P9" s="220"/>
      <c r="Q9" s="269" t="s">
        <v>893</v>
      </c>
      <c r="R9" s="220"/>
      <c r="S9" s="222"/>
      <c r="T9" s="143" t="s">
        <v>1716</v>
      </c>
      <c r="U9" s="144"/>
    </row>
    <row r="10" spans="1:21" ht="17.399999999999999" x14ac:dyDescent="0.3">
      <c r="B10" s="145"/>
      <c r="C10" s="243" t="s">
        <v>2</v>
      </c>
      <c r="D10" s="222"/>
      <c r="E10" s="268">
        <v>32</v>
      </c>
      <c r="F10" s="220"/>
      <c r="G10" s="220"/>
      <c r="H10" s="146"/>
      <c r="I10" s="141"/>
      <c r="J10" s="62"/>
      <c r="K10" s="62"/>
      <c r="L10" s="62"/>
      <c r="M10" s="62"/>
      <c r="N10" s="142"/>
      <c r="O10" s="238" t="s">
        <v>2</v>
      </c>
      <c r="P10" s="222"/>
      <c r="Q10" s="270">
        <v>34</v>
      </c>
      <c r="R10" s="220"/>
      <c r="S10" s="220"/>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5</v>
      </c>
      <c r="H13" s="79">
        <v>4</v>
      </c>
      <c r="I13" s="66"/>
      <c r="J13" s="66"/>
      <c r="K13" s="66"/>
      <c r="L13" s="66"/>
      <c r="M13" s="74"/>
      <c r="N13" s="66"/>
      <c r="O13" s="68" t="s">
        <v>921</v>
      </c>
      <c r="P13" s="75" t="s">
        <v>922</v>
      </c>
      <c r="Q13" s="76"/>
      <c r="R13" s="77"/>
      <c r="S13" s="78">
        <v>6</v>
      </c>
      <c r="T13" s="79">
        <v>3</v>
      </c>
      <c r="U13" s="66"/>
    </row>
    <row r="14" spans="1:21" ht="15.75" customHeight="1" x14ac:dyDescent="0.25">
      <c r="A14" s="67"/>
      <c r="B14" s="66"/>
      <c r="C14" s="68" t="s">
        <v>923</v>
      </c>
      <c r="D14" s="75" t="s">
        <v>924</v>
      </c>
      <c r="E14" s="76"/>
      <c r="F14" s="77"/>
      <c r="G14" s="78">
        <v>0</v>
      </c>
      <c r="H14" s="79">
        <v>9</v>
      </c>
      <c r="I14" s="66"/>
      <c r="J14" s="66"/>
      <c r="K14" s="66"/>
      <c r="L14" s="66"/>
      <c r="M14" s="74"/>
      <c r="N14" s="66"/>
      <c r="O14" s="68" t="s">
        <v>925</v>
      </c>
      <c r="P14" s="75" t="s">
        <v>926</v>
      </c>
      <c r="Q14" s="76"/>
      <c r="R14" s="77"/>
      <c r="S14" s="78">
        <v>8</v>
      </c>
      <c r="T14" s="79">
        <v>1</v>
      </c>
      <c r="U14" s="66"/>
    </row>
    <row r="15" spans="1:21" ht="15.75" customHeight="1" x14ac:dyDescent="0.25">
      <c r="A15" s="67"/>
      <c r="B15" s="66"/>
      <c r="C15" s="68" t="s">
        <v>927</v>
      </c>
      <c r="D15" s="75" t="s">
        <v>928</v>
      </c>
      <c r="E15" s="76"/>
      <c r="F15" s="77"/>
      <c r="G15" s="78">
        <v>0</v>
      </c>
      <c r="H15" s="79">
        <v>5</v>
      </c>
      <c r="I15" s="66"/>
      <c r="J15" s="66"/>
      <c r="K15" s="66"/>
      <c r="L15" s="66"/>
      <c r="M15" s="74"/>
      <c r="N15" s="66"/>
      <c r="O15" s="68" t="s">
        <v>929</v>
      </c>
      <c r="P15" s="75" t="s">
        <v>930</v>
      </c>
      <c r="Q15" s="76"/>
      <c r="R15" s="77"/>
      <c r="S15" s="78">
        <v>5</v>
      </c>
      <c r="T15" s="79">
        <v>3</v>
      </c>
      <c r="U15" s="66"/>
    </row>
    <row r="16" spans="1:21" ht="15.75" customHeight="1" x14ac:dyDescent="0.25">
      <c r="A16" s="67"/>
      <c r="B16" s="66"/>
      <c r="C16" s="68" t="s">
        <v>931</v>
      </c>
      <c r="D16" s="75" t="s">
        <v>932</v>
      </c>
      <c r="E16" s="76"/>
      <c r="F16" s="77"/>
      <c r="G16" s="78">
        <v>5</v>
      </c>
      <c r="H16" s="79">
        <v>4</v>
      </c>
      <c r="I16" s="66"/>
      <c r="J16" s="66"/>
      <c r="K16" s="66"/>
      <c r="L16" s="66"/>
      <c r="M16" s="74"/>
      <c r="N16" s="66"/>
      <c r="O16" s="68" t="s">
        <v>933</v>
      </c>
      <c r="P16" s="75" t="s">
        <v>934</v>
      </c>
      <c r="Q16" s="76"/>
      <c r="R16" s="77"/>
      <c r="S16" s="78">
        <v>3</v>
      </c>
      <c r="T16" s="79">
        <v>5</v>
      </c>
      <c r="U16" s="66"/>
    </row>
    <row r="17" spans="1:21" ht="15.75" customHeight="1" x14ac:dyDescent="0.25">
      <c r="A17" s="67"/>
      <c r="B17" s="66"/>
      <c r="C17" s="80"/>
      <c r="D17" s="81" t="s">
        <v>935</v>
      </c>
      <c r="E17" s="82"/>
      <c r="F17" s="83"/>
      <c r="G17" s="72">
        <v>10</v>
      </c>
      <c r="H17" s="73">
        <v>22</v>
      </c>
      <c r="I17" s="66"/>
      <c r="J17" s="66"/>
      <c r="K17" s="66"/>
      <c r="L17" s="66"/>
      <c r="M17" s="74"/>
      <c r="N17" s="66"/>
      <c r="O17" s="80"/>
      <c r="P17" s="81" t="s">
        <v>935</v>
      </c>
      <c r="Q17" s="82"/>
      <c r="R17" s="83"/>
      <c r="S17" s="72">
        <v>22</v>
      </c>
      <c r="T17" s="73">
        <v>12</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1717</v>
      </c>
      <c r="E22" s="94" t="s">
        <v>489</v>
      </c>
      <c r="F22" s="92" t="s">
        <v>1715</v>
      </c>
      <c r="G22" s="92">
        <v>5</v>
      </c>
      <c r="H22" s="92" t="s">
        <v>29</v>
      </c>
      <c r="I22" s="115" t="s">
        <v>29</v>
      </c>
      <c r="J22" s="89"/>
      <c r="K22" s="89"/>
      <c r="L22" s="89"/>
      <c r="M22" s="96" t="s">
        <v>921</v>
      </c>
      <c r="N22" s="84"/>
      <c r="O22" s="92">
        <v>1</v>
      </c>
      <c r="P22" s="93" t="s">
        <v>1718</v>
      </c>
      <c r="Q22" s="94" t="s">
        <v>492</v>
      </c>
      <c r="R22" s="92" t="s">
        <v>1715</v>
      </c>
      <c r="S22" s="92">
        <v>5</v>
      </c>
      <c r="T22" s="92" t="s">
        <v>29</v>
      </c>
      <c r="U22" s="115" t="s">
        <v>29</v>
      </c>
    </row>
    <row r="23" spans="1:21" ht="15.75" customHeight="1" x14ac:dyDescent="0.25">
      <c r="A23" s="67" t="s">
        <v>919</v>
      </c>
      <c r="B23" s="84"/>
      <c r="C23" s="92">
        <v>2</v>
      </c>
      <c r="D23" s="93" t="s">
        <v>1719</v>
      </c>
      <c r="E23" s="97" t="s">
        <v>334</v>
      </c>
      <c r="F23" s="92" t="s">
        <v>1716</v>
      </c>
      <c r="G23" s="92" t="s">
        <v>29</v>
      </c>
      <c r="H23" s="92">
        <v>3</v>
      </c>
      <c r="I23" s="115" t="s">
        <v>29</v>
      </c>
      <c r="J23" s="89"/>
      <c r="K23" s="89"/>
      <c r="L23" s="89"/>
      <c r="M23" s="96" t="s">
        <v>921</v>
      </c>
      <c r="N23" s="84"/>
      <c r="O23" s="92">
        <v>2</v>
      </c>
      <c r="P23" s="93" t="s">
        <v>1720</v>
      </c>
      <c r="Q23" s="97" t="s">
        <v>724</v>
      </c>
      <c r="R23" s="92" t="s">
        <v>1716</v>
      </c>
      <c r="S23" s="92" t="s">
        <v>29</v>
      </c>
      <c r="T23" s="92">
        <v>3</v>
      </c>
      <c r="U23" s="115" t="s">
        <v>29</v>
      </c>
    </row>
    <row r="24" spans="1:21" ht="15.75" customHeight="1" x14ac:dyDescent="0.25">
      <c r="A24" s="67" t="s">
        <v>919</v>
      </c>
      <c r="B24" s="84"/>
      <c r="C24" s="92">
        <v>3</v>
      </c>
      <c r="D24" s="93" t="s">
        <v>1721</v>
      </c>
      <c r="E24" s="97" t="s">
        <v>348</v>
      </c>
      <c r="F24" s="92" t="s">
        <v>1716</v>
      </c>
      <c r="G24" s="92" t="s">
        <v>29</v>
      </c>
      <c r="H24" s="92">
        <v>1</v>
      </c>
      <c r="I24" s="115" t="s">
        <v>29</v>
      </c>
      <c r="J24" s="89"/>
      <c r="K24" s="89"/>
      <c r="L24" s="89"/>
      <c r="M24" s="96" t="s">
        <v>921</v>
      </c>
      <c r="N24" s="84"/>
      <c r="O24" s="92">
        <v>3</v>
      </c>
      <c r="P24" s="93" t="s">
        <v>1722</v>
      </c>
      <c r="Q24" s="97" t="s">
        <v>494</v>
      </c>
      <c r="R24" s="92" t="s">
        <v>1715</v>
      </c>
      <c r="S24" s="92">
        <v>1</v>
      </c>
      <c r="T24" s="92" t="s">
        <v>29</v>
      </c>
      <c r="U24" s="115" t="s">
        <v>29</v>
      </c>
    </row>
    <row r="25" spans="1:21" ht="15.75" customHeight="1" x14ac:dyDescent="0.25">
      <c r="A25" s="67" t="s">
        <v>919</v>
      </c>
      <c r="B25" s="84"/>
      <c r="C25" s="92">
        <v>4</v>
      </c>
      <c r="D25" s="93" t="s">
        <v>1723</v>
      </c>
      <c r="E25" s="97" t="s">
        <v>722</v>
      </c>
      <c r="F25" s="92" t="s">
        <v>1716</v>
      </c>
      <c r="G25" s="92" t="s">
        <v>29</v>
      </c>
      <c r="H25" s="92" t="s">
        <v>29</v>
      </c>
      <c r="I25" s="115" t="s">
        <v>29</v>
      </c>
      <c r="J25" s="89"/>
      <c r="K25" s="89"/>
      <c r="L25" s="89"/>
      <c r="M25" s="96" t="s">
        <v>921</v>
      </c>
      <c r="N25" s="84"/>
      <c r="O25" s="92">
        <v>4</v>
      </c>
      <c r="P25" s="93" t="s">
        <v>1724</v>
      </c>
      <c r="Q25" s="97" t="s">
        <v>493</v>
      </c>
      <c r="R25" s="92" t="s">
        <v>1715</v>
      </c>
      <c r="S25" s="92" t="s">
        <v>29</v>
      </c>
      <c r="T25" s="92" t="s">
        <v>29</v>
      </c>
      <c r="U25" s="115" t="s">
        <v>29</v>
      </c>
    </row>
    <row r="26" spans="1:21" ht="15.75" customHeight="1" x14ac:dyDescent="0.25">
      <c r="A26" s="67" t="s">
        <v>919</v>
      </c>
      <c r="B26" s="84"/>
      <c r="C26" s="92">
        <v>5</v>
      </c>
      <c r="D26" s="93" t="s">
        <v>1725</v>
      </c>
      <c r="E26" s="97" t="s">
        <v>720</v>
      </c>
      <c r="F26" s="92" t="s">
        <v>1716</v>
      </c>
      <c r="G26" s="92" t="s">
        <v>29</v>
      </c>
      <c r="H26" s="92" t="s">
        <v>29</v>
      </c>
      <c r="I26" s="115" t="s">
        <v>29</v>
      </c>
      <c r="J26" s="89"/>
      <c r="K26" s="89"/>
      <c r="L26" s="89"/>
      <c r="M26" s="96" t="s">
        <v>921</v>
      </c>
      <c r="N26" s="84"/>
      <c r="O26" s="92">
        <v>5</v>
      </c>
      <c r="P26" s="93" t="s">
        <v>1726</v>
      </c>
      <c r="Q26" s="97" t="s">
        <v>79</v>
      </c>
      <c r="R26" s="92" t="s">
        <v>1716</v>
      </c>
      <c r="S26" s="92" t="s">
        <v>29</v>
      </c>
      <c r="T26" s="92" t="s">
        <v>29</v>
      </c>
      <c r="U26" s="115" t="s">
        <v>29</v>
      </c>
    </row>
    <row r="27" spans="1:21" ht="15.75" customHeight="1" x14ac:dyDescent="0.25">
      <c r="A27" s="67" t="s">
        <v>919</v>
      </c>
      <c r="B27" s="84"/>
      <c r="C27" s="92">
        <v>6</v>
      </c>
      <c r="D27" s="93" t="s">
        <v>1727</v>
      </c>
      <c r="E27" s="97" t="s">
        <v>488</v>
      </c>
      <c r="F27" s="92" t="s">
        <v>1715</v>
      </c>
      <c r="G27" s="92" t="s">
        <v>29</v>
      </c>
      <c r="H27" s="92" t="s">
        <v>29</v>
      </c>
      <c r="I27" s="115" t="s">
        <v>29</v>
      </c>
      <c r="J27" s="89"/>
      <c r="K27" s="89"/>
      <c r="L27" s="89"/>
      <c r="M27" s="96" t="s">
        <v>921</v>
      </c>
      <c r="N27" s="84"/>
      <c r="O27" s="92">
        <v>6</v>
      </c>
      <c r="P27" s="93" t="s">
        <v>1728</v>
      </c>
      <c r="Q27" s="97" t="s">
        <v>723</v>
      </c>
      <c r="R27" s="92" t="s">
        <v>1716</v>
      </c>
      <c r="S27" s="92" t="s">
        <v>29</v>
      </c>
      <c r="T27" s="92" t="s">
        <v>29</v>
      </c>
      <c r="U27" s="115" t="s">
        <v>29</v>
      </c>
    </row>
    <row r="28" spans="1:21" ht="15.75" customHeight="1" x14ac:dyDescent="0.25">
      <c r="A28" s="67" t="s">
        <v>919</v>
      </c>
      <c r="B28" s="84"/>
      <c r="C28" s="92">
        <v>7</v>
      </c>
      <c r="D28" s="93" t="s">
        <v>1729</v>
      </c>
      <c r="E28" s="97" t="s">
        <v>491</v>
      </c>
      <c r="F28" s="92" t="s">
        <v>1715</v>
      </c>
      <c r="G28" s="92" t="s">
        <v>29</v>
      </c>
      <c r="H28" s="92" t="s">
        <v>29</v>
      </c>
      <c r="I28" s="115" t="s">
        <v>29</v>
      </c>
      <c r="J28" s="89"/>
      <c r="K28" s="89"/>
      <c r="L28" s="89"/>
      <c r="M28" s="96" t="s">
        <v>29</v>
      </c>
      <c r="N28" s="84"/>
      <c r="O28" s="92" t="s">
        <v>29</v>
      </c>
      <c r="P28" s="93" t="s">
        <v>29</v>
      </c>
      <c r="Q28" s="97" t="s">
        <v>29</v>
      </c>
      <c r="R28" s="92" t="s">
        <v>29</v>
      </c>
      <c r="S28" s="92" t="s">
        <v>29</v>
      </c>
      <c r="T28" s="92" t="s">
        <v>29</v>
      </c>
      <c r="U28" s="115" t="s">
        <v>29</v>
      </c>
    </row>
    <row r="29" spans="1:21" ht="15.75" customHeight="1" x14ac:dyDescent="0.25">
      <c r="A29" s="67" t="s">
        <v>919</v>
      </c>
      <c r="B29" s="84"/>
      <c r="C29" s="92">
        <v>8</v>
      </c>
      <c r="D29" s="98" t="s">
        <v>1730</v>
      </c>
      <c r="E29" s="97" t="s">
        <v>490</v>
      </c>
      <c r="F29" s="92" t="s">
        <v>1715</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29</v>
      </c>
      <c r="B30" s="84"/>
      <c r="C30" s="92" t="s">
        <v>29</v>
      </c>
      <c r="D30" s="98" t="s">
        <v>29</v>
      </c>
      <c r="E30" s="97" t="s">
        <v>29</v>
      </c>
      <c r="F30" s="92" t="s">
        <v>29</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29</v>
      </c>
      <c r="B31" s="84"/>
      <c r="C31" s="92" t="s">
        <v>29</v>
      </c>
      <c r="D31" s="98" t="s">
        <v>29</v>
      </c>
      <c r="E31" s="97" t="s">
        <v>29</v>
      </c>
      <c r="F31" s="92" t="s">
        <v>29</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29</v>
      </c>
      <c r="B32" s="84"/>
      <c r="C32" s="92" t="s">
        <v>29</v>
      </c>
      <c r="D32" s="98" t="s">
        <v>29</v>
      </c>
      <c r="E32" s="97" t="s">
        <v>29</v>
      </c>
      <c r="F32" s="92" t="s">
        <v>29</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29</v>
      </c>
      <c r="B33" s="84"/>
      <c r="C33" s="92" t="s">
        <v>29</v>
      </c>
      <c r="D33" s="98" t="s">
        <v>29</v>
      </c>
      <c r="E33" s="97" t="s">
        <v>29</v>
      </c>
      <c r="F33" s="92" t="s">
        <v>29</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84"/>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84"/>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20"/>
      <c r="E47" s="220"/>
      <c r="F47" s="220"/>
      <c r="G47" s="99">
        <v>5</v>
      </c>
      <c r="H47" s="99">
        <v>4</v>
      </c>
      <c r="I47" s="115" t="s">
        <v>29</v>
      </c>
      <c r="J47" s="89"/>
      <c r="K47" s="89"/>
      <c r="L47" s="89"/>
      <c r="M47" s="96" t="s">
        <v>29</v>
      </c>
      <c r="N47" s="84"/>
      <c r="O47" s="219" t="s">
        <v>955</v>
      </c>
      <c r="P47" s="220"/>
      <c r="Q47" s="220"/>
      <c r="R47" s="220"/>
      <c r="S47" s="99">
        <v>6</v>
      </c>
      <c r="T47" s="99">
        <v>3</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08"/>
      <c r="C51" s="92">
        <v>1</v>
      </c>
      <c r="D51" s="93" t="s">
        <v>1731</v>
      </c>
      <c r="E51" s="94" t="s">
        <v>728</v>
      </c>
      <c r="F51" s="92" t="s">
        <v>1716</v>
      </c>
      <c r="G51" s="92" t="s">
        <v>29</v>
      </c>
      <c r="H51" s="92">
        <v>5</v>
      </c>
      <c r="I51" s="116" t="s">
        <v>29</v>
      </c>
      <c r="J51" s="89"/>
      <c r="K51" s="89"/>
      <c r="L51" s="89"/>
      <c r="M51" s="96" t="s">
        <v>925</v>
      </c>
      <c r="N51" s="108"/>
      <c r="O51" s="92">
        <v>1</v>
      </c>
      <c r="P51" s="93" t="s">
        <v>1732</v>
      </c>
      <c r="Q51" s="94" t="s">
        <v>497</v>
      </c>
      <c r="R51" s="92" t="s">
        <v>1715</v>
      </c>
      <c r="S51" s="92">
        <v>5</v>
      </c>
      <c r="T51" s="92" t="s">
        <v>29</v>
      </c>
      <c r="U51" s="116" t="s">
        <v>29</v>
      </c>
    </row>
    <row r="52" spans="1:21" ht="13.2" x14ac:dyDescent="0.25">
      <c r="A52" s="67" t="s">
        <v>923</v>
      </c>
      <c r="B52" s="108"/>
      <c r="C52" s="92">
        <v>2</v>
      </c>
      <c r="D52" s="93" t="s">
        <v>1733</v>
      </c>
      <c r="E52" s="97" t="s">
        <v>721</v>
      </c>
      <c r="F52" s="92" t="s">
        <v>1716</v>
      </c>
      <c r="G52" s="92" t="s">
        <v>29</v>
      </c>
      <c r="H52" s="92">
        <v>3</v>
      </c>
      <c r="I52" s="116" t="s">
        <v>64</v>
      </c>
      <c r="J52" s="89"/>
      <c r="K52" s="89"/>
      <c r="L52" s="89"/>
      <c r="M52" s="96" t="s">
        <v>925</v>
      </c>
      <c r="N52" s="108"/>
      <c r="O52" s="92">
        <v>2</v>
      </c>
      <c r="P52" s="93" t="s">
        <v>1734</v>
      </c>
      <c r="Q52" s="97" t="s">
        <v>498</v>
      </c>
      <c r="R52" s="92" t="s">
        <v>1715</v>
      </c>
      <c r="S52" s="92">
        <v>3</v>
      </c>
      <c r="T52" s="92" t="s">
        <v>29</v>
      </c>
      <c r="U52" s="116" t="s">
        <v>29</v>
      </c>
    </row>
    <row r="53" spans="1:21" ht="13.2" x14ac:dyDescent="0.25">
      <c r="A53" s="67" t="s">
        <v>923</v>
      </c>
      <c r="B53" s="108"/>
      <c r="C53" s="92">
        <v>3</v>
      </c>
      <c r="D53" s="93" t="s">
        <v>1735</v>
      </c>
      <c r="E53" s="97" t="s">
        <v>727</v>
      </c>
      <c r="F53" s="92" t="s">
        <v>1716</v>
      </c>
      <c r="G53" s="92" t="s">
        <v>29</v>
      </c>
      <c r="H53" s="92">
        <v>1</v>
      </c>
      <c r="I53" s="116" t="s">
        <v>29</v>
      </c>
      <c r="J53" s="89"/>
      <c r="K53" s="89"/>
      <c r="L53" s="89"/>
      <c r="M53" s="96" t="s">
        <v>925</v>
      </c>
      <c r="N53" s="108"/>
      <c r="O53" s="92">
        <v>3</v>
      </c>
      <c r="P53" s="93" t="s">
        <v>1736</v>
      </c>
      <c r="Q53" s="97" t="s">
        <v>729</v>
      </c>
      <c r="R53" s="92" t="s">
        <v>1716</v>
      </c>
      <c r="S53" s="92" t="s">
        <v>29</v>
      </c>
      <c r="T53" s="92">
        <v>1</v>
      </c>
      <c r="U53" s="116" t="s">
        <v>29</v>
      </c>
    </row>
    <row r="54" spans="1:21" ht="13.2" x14ac:dyDescent="0.25">
      <c r="A54" s="67" t="s">
        <v>923</v>
      </c>
      <c r="B54" s="108"/>
      <c r="C54" s="92">
        <v>4</v>
      </c>
      <c r="D54" s="93" t="s">
        <v>1737</v>
      </c>
      <c r="E54" s="97" t="s">
        <v>726</v>
      </c>
      <c r="F54" s="92" t="s">
        <v>1716</v>
      </c>
      <c r="G54" s="92" t="s">
        <v>29</v>
      </c>
      <c r="H54" s="92" t="s">
        <v>29</v>
      </c>
      <c r="I54" s="116" t="s">
        <v>29</v>
      </c>
      <c r="J54" s="89"/>
      <c r="K54" s="89"/>
      <c r="L54" s="89"/>
      <c r="M54" s="96" t="s">
        <v>29</v>
      </c>
      <c r="N54" s="108"/>
      <c r="O54" s="92" t="s">
        <v>29</v>
      </c>
      <c r="P54" s="93" t="s">
        <v>29</v>
      </c>
      <c r="Q54" s="97" t="s">
        <v>29</v>
      </c>
      <c r="R54" s="92" t="s">
        <v>29</v>
      </c>
      <c r="S54" s="92" t="s">
        <v>29</v>
      </c>
      <c r="T54" s="92" t="s">
        <v>29</v>
      </c>
      <c r="U54" s="116" t="s">
        <v>29</v>
      </c>
    </row>
    <row r="55" spans="1:21" ht="13.2" x14ac:dyDescent="0.25">
      <c r="A55" s="67" t="s">
        <v>29</v>
      </c>
      <c r="B55" s="108"/>
      <c r="C55" s="92" t="s">
        <v>29</v>
      </c>
      <c r="D55" s="93" t="s">
        <v>29</v>
      </c>
      <c r="E55" s="97" t="s">
        <v>29</v>
      </c>
      <c r="F55" s="92" t="s">
        <v>29</v>
      </c>
      <c r="G55" s="92" t="s">
        <v>29</v>
      </c>
      <c r="H55" s="92" t="s">
        <v>29</v>
      </c>
      <c r="I55" s="116" t="s">
        <v>29</v>
      </c>
      <c r="J55" s="89"/>
      <c r="K55" s="89"/>
      <c r="L55" s="89"/>
      <c r="M55" s="96" t="s">
        <v>29</v>
      </c>
      <c r="N55" s="108"/>
      <c r="O55" s="92" t="s">
        <v>29</v>
      </c>
      <c r="P55" s="93" t="s">
        <v>29</v>
      </c>
      <c r="Q55" s="97" t="s">
        <v>29</v>
      </c>
      <c r="R55" s="92" t="s">
        <v>29</v>
      </c>
      <c r="S55" s="92" t="s">
        <v>29</v>
      </c>
      <c r="T55" s="92" t="s">
        <v>29</v>
      </c>
      <c r="U55" s="116" t="s">
        <v>29</v>
      </c>
    </row>
    <row r="56" spans="1:21" ht="13.2" x14ac:dyDescent="0.25">
      <c r="A56" s="67" t="s">
        <v>29</v>
      </c>
      <c r="B56" s="108"/>
      <c r="C56" s="92" t="s">
        <v>29</v>
      </c>
      <c r="D56" s="93" t="s">
        <v>29</v>
      </c>
      <c r="E56" s="97" t="s">
        <v>29</v>
      </c>
      <c r="F56" s="92" t="s">
        <v>29</v>
      </c>
      <c r="G56" s="92" t="s">
        <v>29</v>
      </c>
      <c r="H56" s="92" t="s">
        <v>29</v>
      </c>
      <c r="I56" s="116" t="s">
        <v>29</v>
      </c>
      <c r="J56" s="89"/>
      <c r="K56" s="89"/>
      <c r="L56" s="89"/>
      <c r="M56" s="96" t="s">
        <v>29</v>
      </c>
      <c r="N56" s="108"/>
      <c r="O56" s="92" t="s">
        <v>29</v>
      </c>
      <c r="P56" s="93" t="s">
        <v>29</v>
      </c>
      <c r="Q56" s="97" t="s">
        <v>29</v>
      </c>
      <c r="R56" s="92" t="s">
        <v>29</v>
      </c>
      <c r="S56" s="92" t="s">
        <v>29</v>
      </c>
      <c r="T56" s="92" t="s">
        <v>29</v>
      </c>
      <c r="U56" s="116" t="s">
        <v>29</v>
      </c>
    </row>
    <row r="57" spans="1:21" ht="13.2" x14ac:dyDescent="0.25">
      <c r="A57" s="67" t="s">
        <v>29</v>
      </c>
      <c r="B57" s="108"/>
      <c r="C57" s="92" t="s">
        <v>29</v>
      </c>
      <c r="D57" s="93" t="s">
        <v>29</v>
      </c>
      <c r="E57" s="97" t="s">
        <v>29</v>
      </c>
      <c r="F57" s="92" t="s">
        <v>29</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29</v>
      </c>
      <c r="B58" s="108"/>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08"/>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20"/>
      <c r="E66" s="220"/>
      <c r="F66" s="222"/>
      <c r="G66" s="99">
        <v>0</v>
      </c>
      <c r="H66" s="99">
        <v>9</v>
      </c>
      <c r="I66" s="116" t="s">
        <v>29</v>
      </c>
      <c r="J66" s="89"/>
      <c r="K66" s="89"/>
      <c r="L66" s="89"/>
      <c r="M66" s="96" t="s">
        <v>29</v>
      </c>
      <c r="N66" s="108"/>
      <c r="O66" s="219" t="s">
        <v>972</v>
      </c>
      <c r="P66" s="220"/>
      <c r="Q66" s="220"/>
      <c r="R66" s="222"/>
      <c r="S66" s="99">
        <v>8</v>
      </c>
      <c r="T66" s="99">
        <v>1</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1738</v>
      </c>
      <c r="E70" s="94" t="s">
        <v>725</v>
      </c>
      <c r="F70" s="92" t="s">
        <v>1716</v>
      </c>
      <c r="G70" s="92" t="s">
        <v>29</v>
      </c>
      <c r="H70" s="92">
        <v>5</v>
      </c>
      <c r="I70" s="115" t="s">
        <v>29</v>
      </c>
      <c r="J70" s="89"/>
      <c r="K70" s="89"/>
      <c r="L70" s="89"/>
      <c r="M70" s="96" t="s">
        <v>929</v>
      </c>
      <c r="N70" s="84"/>
      <c r="O70" s="92">
        <v>1</v>
      </c>
      <c r="P70" s="93" t="s">
        <v>1739</v>
      </c>
      <c r="Q70" s="94" t="s">
        <v>496</v>
      </c>
      <c r="R70" s="92" t="s">
        <v>1715</v>
      </c>
      <c r="S70" s="92">
        <v>5</v>
      </c>
      <c r="T70" s="92" t="s">
        <v>29</v>
      </c>
      <c r="U70" s="115" t="s">
        <v>29</v>
      </c>
    </row>
    <row r="71" spans="1:21" ht="13.2" x14ac:dyDescent="0.25">
      <c r="A71" s="67" t="s">
        <v>29</v>
      </c>
      <c r="B71" s="84"/>
      <c r="C71" s="92" t="s">
        <v>29</v>
      </c>
      <c r="D71" s="93" t="s">
        <v>29</v>
      </c>
      <c r="E71" s="97" t="s">
        <v>29</v>
      </c>
      <c r="F71" s="92" t="s">
        <v>29</v>
      </c>
      <c r="G71" s="92" t="s">
        <v>29</v>
      </c>
      <c r="H71" s="92" t="s">
        <v>29</v>
      </c>
      <c r="I71" s="115" t="s">
        <v>29</v>
      </c>
      <c r="J71" s="89"/>
      <c r="K71" s="89"/>
      <c r="L71" s="89"/>
      <c r="M71" s="96" t="s">
        <v>929</v>
      </c>
      <c r="N71" s="84"/>
      <c r="O71" s="92">
        <v>2</v>
      </c>
      <c r="P71" s="93" t="s">
        <v>1740</v>
      </c>
      <c r="Q71" s="97" t="s">
        <v>730</v>
      </c>
      <c r="R71" s="92" t="s">
        <v>1716</v>
      </c>
      <c r="S71" s="92" t="s">
        <v>29</v>
      </c>
      <c r="T71" s="92">
        <v>3</v>
      </c>
      <c r="U71" s="115" t="s">
        <v>64</v>
      </c>
    </row>
    <row r="72" spans="1:21" ht="13.2" x14ac:dyDescent="0.25">
      <c r="A72" s="67" t="s">
        <v>29</v>
      </c>
      <c r="B72" s="84"/>
      <c r="C72" s="92" t="s">
        <v>29</v>
      </c>
      <c r="D72" s="93" t="s">
        <v>29</v>
      </c>
      <c r="E72" s="97" t="s">
        <v>29</v>
      </c>
      <c r="F72" s="92" t="s">
        <v>29</v>
      </c>
      <c r="G72" s="92" t="s">
        <v>29</v>
      </c>
      <c r="H72" s="92" t="s">
        <v>29</v>
      </c>
      <c r="I72" s="115" t="s">
        <v>29</v>
      </c>
      <c r="J72" s="89"/>
      <c r="K72" s="89"/>
      <c r="L72" s="89"/>
      <c r="M72" s="96" t="s">
        <v>29</v>
      </c>
      <c r="N72" s="84"/>
      <c r="O72" s="92" t="s">
        <v>29</v>
      </c>
      <c r="P72" s="93" t="s">
        <v>29</v>
      </c>
      <c r="Q72" s="97" t="s">
        <v>29</v>
      </c>
      <c r="R72" s="92" t="s">
        <v>29</v>
      </c>
      <c r="S72" s="92" t="s">
        <v>29</v>
      </c>
      <c r="T72" s="92" t="s">
        <v>29</v>
      </c>
      <c r="U72" s="115" t="s">
        <v>29</v>
      </c>
    </row>
    <row r="73" spans="1:21" ht="13.2" x14ac:dyDescent="0.25">
      <c r="A73" s="67" t="s">
        <v>29</v>
      </c>
      <c r="B73" s="84"/>
      <c r="C73" s="92" t="s">
        <v>29</v>
      </c>
      <c r="D73" s="93" t="s">
        <v>29</v>
      </c>
      <c r="E73" s="97" t="s">
        <v>29</v>
      </c>
      <c r="F73" s="92" t="s">
        <v>29</v>
      </c>
      <c r="G73" s="92" t="s">
        <v>29</v>
      </c>
      <c r="H73" s="92" t="s">
        <v>29</v>
      </c>
      <c r="I73" s="115" t="s">
        <v>29</v>
      </c>
      <c r="J73" s="89"/>
      <c r="K73" s="89"/>
      <c r="L73" s="89"/>
      <c r="M73" s="96" t="s">
        <v>29</v>
      </c>
      <c r="N73" s="84"/>
      <c r="O73" s="92" t="s">
        <v>29</v>
      </c>
      <c r="P73" s="93" t="s">
        <v>29</v>
      </c>
      <c r="Q73" s="97" t="s">
        <v>29</v>
      </c>
      <c r="R73" s="92" t="s">
        <v>29</v>
      </c>
      <c r="S73" s="92" t="s">
        <v>29</v>
      </c>
      <c r="T73" s="92" t="s">
        <v>29</v>
      </c>
      <c r="U73" s="115" t="s">
        <v>29</v>
      </c>
    </row>
    <row r="74" spans="1:21" ht="13.2" x14ac:dyDescent="0.25">
      <c r="A74" s="67" t="s">
        <v>29</v>
      </c>
      <c r="B74" s="84"/>
      <c r="C74" s="92" t="s">
        <v>29</v>
      </c>
      <c r="D74" s="93" t="s">
        <v>29</v>
      </c>
      <c r="E74" s="97" t="s">
        <v>29</v>
      </c>
      <c r="F74" s="92" t="s">
        <v>29</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84"/>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20"/>
      <c r="E85" s="220"/>
      <c r="F85" s="220"/>
      <c r="G85" s="99">
        <v>0</v>
      </c>
      <c r="H85" s="99">
        <v>5</v>
      </c>
      <c r="I85" s="115" t="s">
        <v>29</v>
      </c>
      <c r="J85" s="89"/>
      <c r="K85" s="89"/>
      <c r="L85" s="89"/>
      <c r="M85" s="96" t="s">
        <v>29</v>
      </c>
      <c r="N85" s="84"/>
      <c r="O85" s="219" t="s">
        <v>985</v>
      </c>
      <c r="P85" s="220"/>
      <c r="Q85" s="220"/>
      <c r="R85" s="220"/>
      <c r="S85" s="99">
        <v>5</v>
      </c>
      <c r="T85" s="99">
        <v>3</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1741</v>
      </c>
      <c r="E89" s="94" t="s">
        <v>502</v>
      </c>
      <c r="F89" s="92" t="s">
        <v>1715</v>
      </c>
      <c r="G89" s="92">
        <v>5</v>
      </c>
      <c r="H89" s="92" t="s">
        <v>29</v>
      </c>
      <c r="I89" s="116" t="s">
        <v>29</v>
      </c>
      <c r="J89" s="89"/>
      <c r="K89" s="89"/>
      <c r="L89" s="89"/>
      <c r="M89" s="96" t="s">
        <v>933</v>
      </c>
      <c r="N89" s="108"/>
      <c r="O89" s="92">
        <v>1</v>
      </c>
      <c r="P89" s="93" t="s">
        <v>1742</v>
      </c>
      <c r="Q89" s="94" t="s">
        <v>735</v>
      </c>
      <c r="R89" s="92" t="s">
        <v>1716</v>
      </c>
      <c r="S89" s="92" t="s">
        <v>29</v>
      </c>
      <c r="T89" s="92">
        <v>5</v>
      </c>
      <c r="U89" s="116" t="s">
        <v>29</v>
      </c>
    </row>
    <row r="90" spans="1:21" ht="13.2" x14ac:dyDescent="0.25">
      <c r="A90" s="67" t="s">
        <v>931</v>
      </c>
      <c r="B90" s="108"/>
      <c r="C90" s="92">
        <v>2</v>
      </c>
      <c r="D90" s="93" t="s">
        <v>1743</v>
      </c>
      <c r="E90" s="97" t="s">
        <v>732</v>
      </c>
      <c r="F90" s="92" t="s">
        <v>1716</v>
      </c>
      <c r="G90" s="92" t="s">
        <v>29</v>
      </c>
      <c r="H90" s="92">
        <v>3</v>
      </c>
      <c r="I90" s="116" t="s">
        <v>29</v>
      </c>
      <c r="J90" s="89"/>
      <c r="K90" s="89"/>
      <c r="L90" s="89"/>
      <c r="M90" s="96" t="s">
        <v>933</v>
      </c>
      <c r="N90" s="108"/>
      <c r="O90" s="92">
        <v>2</v>
      </c>
      <c r="P90" s="93" t="s">
        <v>1744</v>
      </c>
      <c r="Q90" s="97" t="s">
        <v>495</v>
      </c>
      <c r="R90" s="92" t="s">
        <v>1715</v>
      </c>
      <c r="S90" s="92">
        <v>3</v>
      </c>
      <c r="T90" s="92" t="s">
        <v>29</v>
      </c>
      <c r="U90" s="116" t="s">
        <v>64</v>
      </c>
    </row>
    <row r="91" spans="1:21" ht="13.2" x14ac:dyDescent="0.25">
      <c r="A91" s="67" t="s">
        <v>931</v>
      </c>
      <c r="B91" s="108"/>
      <c r="C91" s="92">
        <v>3</v>
      </c>
      <c r="D91" s="93" t="s">
        <v>1745</v>
      </c>
      <c r="E91" s="97" t="s">
        <v>731</v>
      </c>
      <c r="F91" s="92" t="s">
        <v>1716</v>
      </c>
      <c r="G91" s="92" t="s">
        <v>29</v>
      </c>
      <c r="H91" s="92">
        <v>1</v>
      </c>
      <c r="I91" s="116" t="s">
        <v>29</v>
      </c>
      <c r="J91" s="89"/>
      <c r="K91" s="89"/>
      <c r="L91" s="89"/>
      <c r="M91" s="96" t="s">
        <v>29</v>
      </c>
      <c r="N91" s="108"/>
      <c r="O91" s="92" t="s">
        <v>29</v>
      </c>
      <c r="P91" s="93" t="s">
        <v>29</v>
      </c>
      <c r="Q91" s="97" t="s">
        <v>29</v>
      </c>
      <c r="R91" s="92" t="s">
        <v>29</v>
      </c>
      <c r="S91" s="92" t="s">
        <v>29</v>
      </c>
      <c r="T91" s="92" t="s">
        <v>29</v>
      </c>
      <c r="U91" s="116" t="s">
        <v>29</v>
      </c>
    </row>
    <row r="92" spans="1:21" ht="13.2" x14ac:dyDescent="0.25">
      <c r="A92" s="67" t="s">
        <v>931</v>
      </c>
      <c r="B92" s="108"/>
      <c r="C92" s="92">
        <v>4</v>
      </c>
      <c r="D92" s="93" t="s">
        <v>1746</v>
      </c>
      <c r="E92" s="97" t="s">
        <v>500</v>
      </c>
      <c r="F92" s="92" t="s">
        <v>1715</v>
      </c>
      <c r="G92" s="92" t="s">
        <v>29</v>
      </c>
      <c r="H92" s="92" t="s">
        <v>29</v>
      </c>
      <c r="I92" s="116" t="s">
        <v>29</v>
      </c>
      <c r="J92" s="89"/>
      <c r="K92" s="89"/>
      <c r="L92" s="89"/>
      <c r="M92" s="96" t="s">
        <v>29</v>
      </c>
      <c r="N92" s="108"/>
      <c r="O92" s="92" t="s">
        <v>29</v>
      </c>
      <c r="P92" s="93" t="s">
        <v>29</v>
      </c>
      <c r="Q92" s="97" t="s">
        <v>29</v>
      </c>
      <c r="R92" s="92" t="s">
        <v>29</v>
      </c>
      <c r="S92" s="92" t="s">
        <v>29</v>
      </c>
      <c r="T92" s="92" t="s">
        <v>29</v>
      </c>
      <c r="U92" s="116" t="s">
        <v>29</v>
      </c>
    </row>
    <row r="93" spans="1:21" ht="13.2" x14ac:dyDescent="0.25">
      <c r="A93" s="67" t="s">
        <v>931</v>
      </c>
      <c r="B93" s="108"/>
      <c r="C93" s="92">
        <v>5</v>
      </c>
      <c r="D93" s="93" t="s">
        <v>1747</v>
      </c>
      <c r="E93" s="97" t="s">
        <v>499</v>
      </c>
      <c r="F93" s="92" t="s">
        <v>1715</v>
      </c>
      <c r="G93" s="92" t="s">
        <v>29</v>
      </c>
      <c r="H93" s="92" t="s">
        <v>29</v>
      </c>
      <c r="I93" s="116" t="s">
        <v>29</v>
      </c>
      <c r="J93" s="89"/>
      <c r="K93" s="89"/>
      <c r="L93" s="89"/>
      <c r="M93" s="96" t="s">
        <v>29</v>
      </c>
      <c r="N93" s="108"/>
      <c r="O93" s="92" t="s">
        <v>29</v>
      </c>
      <c r="P93" s="93" t="s">
        <v>29</v>
      </c>
      <c r="Q93" s="97" t="s">
        <v>29</v>
      </c>
      <c r="R93" s="92" t="s">
        <v>29</v>
      </c>
      <c r="S93" s="92" t="s">
        <v>29</v>
      </c>
      <c r="T93" s="92" t="s">
        <v>29</v>
      </c>
      <c r="U93" s="116" t="s">
        <v>29</v>
      </c>
    </row>
    <row r="94" spans="1:21" ht="13.2" x14ac:dyDescent="0.25">
      <c r="A94" s="67" t="s">
        <v>931</v>
      </c>
      <c r="B94" s="108"/>
      <c r="C94" s="92">
        <v>6</v>
      </c>
      <c r="D94" s="93" t="s">
        <v>1748</v>
      </c>
      <c r="E94" s="97" t="s">
        <v>381</v>
      </c>
      <c r="F94" s="92" t="s">
        <v>1716</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931</v>
      </c>
      <c r="B95" s="108"/>
      <c r="C95" s="92">
        <v>7</v>
      </c>
      <c r="D95" s="93" t="s">
        <v>1749</v>
      </c>
      <c r="E95" s="97" t="s">
        <v>733</v>
      </c>
      <c r="F95" s="92" t="s">
        <v>1716</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931</v>
      </c>
      <c r="B96" s="108"/>
      <c r="C96" s="92">
        <v>8</v>
      </c>
      <c r="D96" s="93" t="s">
        <v>1750</v>
      </c>
      <c r="E96" s="97" t="s">
        <v>501</v>
      </c>
      <c r="F96" s="92" t="s">
        <v>1715</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931</v>
      </c>
      <c r="B97" s="108"/>
      <c r="C97" s="92">
        <v>9</v>
      </c>
      <c r="D97" s="93" t="s">
        <v>1751</v>
      </c>
      <c r="E97" s="97" t="s">
        <v>734</v>
      </c>
      <c r="F97" s="92" t="s">
        <v>1716</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08"/>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20"/>
      <c r="E104" s="220"/>
      <c r="F104" s="220"/>
      <c r="G104" s="99">
        <v>5</v>
      </c>
      <c r="H104" s="99">
        <v>4</v>
      </c>
      <c r="I104" s="116" t="s">
        <v>29</v>
      </c>
      <c r="J104" s="89"/>
      <c r="K104" s="89"/>
      <c r="L104" s="89"/>
      <c r="M104" s="96" t="s">
        <v>29</v>
      </c>
      <c r="N104" s="108"/>
      <c r="O104" s="219" t="s">
        <v>996</v>
      </c>
      <c r="P104" s="220"/>
      <c r="Q104" s="220"/>
      <c r="R104" s="220"/>
      <c r="S104" s="99">
        <v>3</v>
      </c>
      <c r="T104" s="99">
        <v>5</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1752</v>
      </c>
      <c r="R106" s="220"/>
      <c r="S106" s="220"/>
      <c r="T106" s="222"/>
      <c r="U106" s="66" t="s">
        <v>29</v>
      </c>
    </row>
    <row r="107" spans="1:21" ht="13.2" x14ac:dyDescent="0.25">
      <c r="A107" s="67"/>
      <c r="B107" s="66"/>
      <c r="C107" s="245" t="s">
        <v>1753</v>
      </c>
      <c r="D107" s="227"/>
      <c r="E107" s="227"/>
      <c r="F107" s="227"/>
      <c r="G107" s="227"/>
      <c r="H107" s="228"/>
      <c r="I107" s="89" t="s">
        <v>29</v>
      </c>
      <c r="J107" s="89"/>
      <c r="K107" s="89"/>
      <c r="L107" s="89"/>
      <c r="M107" s="96"/>
      <c r="N107" s="119"/>
      <c r="O107" s="120" t="s">
        <v>1001</v>
      </c>
      <c r="P107" s="121"/>
      <c r="Q107" s="221" t="s">
        <v>1754</v>
      </c>
      <c r="R107" s="220"/>
      <c r="S107" s="220"/>
      <c r="T107" s="222"/>
      <c r="U107" s="66" t="s">
        <v>29</v>
      </c>
    </row>
    <row r="108" spans="1:21" ht="13.2" x14ac:dyDescent="0.25">
      <c r="A108" s="67"/>
      <c r="B108" s="66"/>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B109" s="66"/>
      <c r="C109" s="118" t="s">
        <v>1003</v>
      </c>
      <c r="D109" s="122"/>
      <c r="E109" s="225" t="s">
        <v>1754</v>
      </c>
      <c r="F109" s="220"/>
      <c r="G109" s="220"/>
      <c r="H109" s="222"/>
      <c r="I109" s="89" t="s">
        <v>29</v>
      </c>
      <c r="J109" s="89"/>
      <c r="K109" s="89"/>
      <c r="L109" s="89"/>
      <c r="M109" s="96"/>
      <c r="N109" s="119"/>
      <c r="O109" s="118" t="s">
        <v>1004</v>
      </c>
      <c r="P109" s="122"/>
      <c r="Q109" s="225" t="s">
        <v>1755</v>
      </c>
      <c r="R109" s="220"/>
      <c r="S109" s="220"/>
      <c r="T109" s="222"/>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42"/>
      <c r="D111" s="227"/>
      <c r="E111" s="227"/>
      <c r="F111" s="227"/>
      <c r="G111" s="227"/>
      <c r="H111" s="228"/>
      <c r="I111" s="66" t="s">
        <v>29</v>
      </c>
      <c r="J111" s="66"/>
      <c r="K111" s="66"/>
      <c r="L111" s="66"/>
      <c r="M111" s="74"/>
      <c r="N111" s="123"/>
      <c r="O111" s="240"/>
      <c r="P111" s="227"/>
      <c r="Q111" s="227"/>
      <c r="R111" s="227"/>
      <c r="S111" s="227"/>
      <c r="T111" s="228"/>
      <c r="U111" s="66" t="s">
        <v>29</v>
      </c>
    </row>
    <row r="112" spans="1:21" ht="13.2" x14ac:dyDescent="0.25">
      <c r="A112" s="67"/>
      <c r="B112" s="66"/>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B113" s="66"/>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B114" s="66"/>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220"/>
      <c r="E119" s="271" t="s">
        <v>894</v>
      </c>
      <c r="F119" s="220"/>
      <c r="G119" s="222"/>
      <c r="H119" s="150" t="s">
        <v>1756</v>
      </c>
      <c r="I119" s="151" t="s">
        <v>29</v>
      </c>
      <c r="J119" s="152"/>
      <c r="K119" s="152"/>
      <c r="L119" s="152"/>
      <c r="M119" s="153"/>
      <c r="N119" s="64"/>
      <c r="O119" s="236" t="s">
        <v>860</v>
      </c>
      <c r="P119" s="220"/>
      <c r="Q119" s="261" t="s">
        <v>895</v>
      </c>
      <c r="R119" s="220"/>
      <c r="S119" s="222"/>
      <c r="T119" s="154" t="s">
        <v>1757</v>
      </c>
      <c r="U119" s="155" t="s">
        <v>29</v>
      </c>
    </row>
    <row r="120" spans="1:21" ht="17.399999999999999" x14ac:dyDescent="0.25">
      <c r="A120" s="67"/>
      <c r="B120" s="156"/>
      <c r="C120" s="265" t="s">
        <v>2</v>
      </c>
      <c r="D120" s="222"/>
      <c r="E120" s="266">
        <v>33</v>
      </c>
      <c r="F120" s="220"/>
      <c r="G120" s="220"/>
      <c r="H120" s="157"/>
      <c r="I120" s="151" t="s">
        <v>29</v>
      </c>
      <c r="J120" s="158"/>
      <c r="K120" s="158"/>
      <c r="L120" s="158"/>
      <c r="M120" s="159"/>
      <c r="N120" s="64"/>
      <c r="O120" s="262" t="s">
        <v>2</v>
      </c>
      <c r="P120" s="222"/>
      <c r="Q120" s="263">
        <v>30</v>
      </c>
      <c r="R120" s="220"/>
      <c r="S120" s="220"/>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B123" s="66"/>
      <c r="C123" s="68" t="s">
        <v>919</v>
      </c>
      <c r="D123" s="161" t="s">
        <v>920</v>
      </c>
      <c r="E123" s="68"/>
      <c r="F123" s="68"/>
      <c r="G123" s="78">
        <v>5</v>
      </c>
      <c r="H123" s="79">
        <v>4</v>
      </c>
      <c r="I123" s="66" t="s">
        <v>29</v>
      </c>
      <c r="J123" s="66"/>
      <c r="K123" s="66"/>
      <c r="L123" s="66"/>
      <c r="M123" s="74"/>
      <c r="N123" s="66"/>
      <c r="O123" s="68" t="s">
        <v>921</v>
      </c>
      <c r="P123" s="161" t="s">
        <v>922</v>
      </c>
      <c r="Q123" s="68"/>
      <c r="R123" s="68"/>
      <c r="S123" s="78">
        <v>0</v>
      </c>
      <c r="T123" s="79">
        <v>9</v>
      </c>
      <c r="U123" s="66" t="s">
        <v>29</v>
      </c>
    </row>
    <row r="124" spans="1:21" ht="13.2" x14ac:dyDescent="0.25">
      <c r="A124" s="67"/>
      <c r="B124" s="66"/>
      <c r="C124" s="68" t="s">
        <v>923</v>
      </c>
      <c r="D124" s="161" t="s">
        <v>924</v>
      </c>
      <c r="E124" s="68"/>
      <c r="F124" s="68"/>
      <c r="G124" s="78">
        <v>6</v>
      </c>
      <c r="H124" s="79">
        <v>3</v>
      </c>
      <c r="I124" s="66" t="s">
        <v>29</v>
      </c>
      <c r="J124" s="66"/>
      <c r="K124" s="66"/>
      <c r="L124" s="66"/>
      <c r="M124" s="74"/>
      <c r="N124" s="66"/>
      <c r="O124" s="68" t="s">
        <v>925</v>
      </c>
      <c r="P124" s="161" t="s">
        <v>926</v>
      </c>
      <c r="Q124" s="68"/>
      <c r="R124" s="68"/>
      <c r="S124" s="78">
        <v>6</v>
      </c>
      <c r="T124" s="79">
        <v>3</v>
      </c>
      <c r="U124" s="66" t="s">
        <v>29</v>
      </c>
    </row>
    <row r="125" spans="1:21" ht="13.2" x14ac:dyDescent="0.25">
      <c r="A125" s="67"/>
      <c r="B125" s="66"/>
      <c r="C125" s="68" t="s">
        <v>927</v>
      </c>
      <c r="D125" s="161" t="s">
        <v>928</v>
      </c>
      <c r="E125" s="68"/>
      <c r="F125" s="68"/>
      <c r="G125" s="78">
        <v>8</v>
      </c>
      <c r="H125" s="79">
        <v>1</v>
      </c>
      <c r="I125" s="66" t="s">
        <v>29</v>
      </c>
      <c r="J125" s="66"/>
      <c r="K125" s="66"/>
      <c r="L125" s="66"/>
      <c r="M125" s="74"/>
      <c r="N125" s="66"/>
      <c r="O125" s="68" t="s">
        <v>929</v>
      </c>
      <c r="P125" s="161" t="s">
        <v>930</v>
      </c>
      <c r="Q125" s="68"/>
      <c r="R125" s="68"/>
      <c r="S125" s="78">
        <v>0</v>
      </c>
      <c r="T125" s="79">
        <v>5</v>
      </c>
      <c r="U125" s="66" t="s">
        <v>29</v>
      </c>
    </row>
    <row r="126" spans="1:21" ht="13.2" x14ac:dyDescent="0.25">
      <c r="A126" s="67"/>
      <c r="B126" s="66"/>
      <c r="C126" s="68" t="s">
        <v>931</v>
      </c>
      <c r="D126" s="161" t="s">
        <v>932</v>
      </c>
      <c r="E126" s="68"/>
      <c r="F126" s="68"/>
      <c r="G126" s="78">
        <v>3</v>
      </c>
      <c r="H126" s="79">
        <v>5</v>
      </c>
      <c r="I126" s="66" t="s">
        <v>29</v>
      </c>
      <c r="J126" s="66"/>
      <c r="K126" s="66"/>
      <c r="L126" s="66"/>
      <c r="M126" s="74"/>
      <c r="N126" s="66"/>
      <c r="O126" s="68" t="s">
        <v>933</v>
      </c>
      <c r="P126" s="161" t="s">
        <v>934</v>
      </c>
      <c r="Q126" s="68"/>
      <c r="R126" s="68"/>
      <c r="S126" s="78">
        <v>5</v>
      </c>
      <c r="T126" s="79">
        <v>0</v>
      </c>
      <c r="U126" s="66" t="s">
        <v>29</v>
      </c>
    </row>
    <row r="127" spans="1:21" ht="13.2" x14ac:dyDescent="0.25">
      <c r="A127" s="67"/>
      <c r="B127" s="66"/>
      <c r="C127" s="80"/>
      <c r="D127" s="162" t="s">
        <v>935</v>
      </c>
      <c r="E127" s="162"/>
      <c r="F127" s="162"/>
      <c r="G127" s="72">
        <v>22</v>
      </c>
      <c r="H127" s="73">
        <v>13</v>
      </c>
      <c r="I127" s="66" t="s">
        <v>29</v>
      </c>
      <c r="J127" s="66"/>
      <c r="K127" s="66"/>
      <c r="L127" s="66"/>
      <c r="M127" s="74"/>
      <c r="N127" s="66"/>
      <c r="O127" s="80"/>
      <c r="P127" s="162" t="s">
        <v>935</v>
      </c>
      <c r="Q127" s="162"/>
      <c r="R127" s="162"/>
      <c r="S127" s="72">
        <v>11</v>
      </c>
      <c r="T127" s="73">
        <v>17</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1758</v>
      </c>
      <c r="E132" s="94" t="s">
        <v>721</v>
      </c>
      <c r="F132" s="92" t="s">
        <v>1756</v>
      </c>
      <c r="G132" s="92">
        <v>5</v>
      </c>
      <c r="H132" s="92" t="s">
        <v>29</v>
      </c>
      <c r="I132" s="115" t="s">
        <v>29</v>
      </c>
      <c r="J132" s="89"/>
      <c r="K132" s="89"/>
      <c r="L132" s="89"/>
      <c r="M132" s="96" t="s">
        <v>921</v>
      </c>
      <c r="N132" s="84"/>
      <c r="O132" s="92">
        <v>1</v>
      </c>
      <c r="P132" s="93" t="s">
        <v>1759</v>
      </c>
      <c r="Q132" s="94" t="s">
        <v>787</v>
      </c>
      <c r="R132" s="92" t="s">
        <v>1757</v>
      </c>
      <c r="S132" s="92" t="s">
        <v>29</v>
      </c>
      <c r="T132" s="92">
        <v>5</v>
      </c>
      <c r="U132" s="115" t="s">
        <v>29</v>
      </c>
    </row>
    <row r="133" spans="1:21" ht="13.2" x14ac:dyDescent="0.25">
      <c r="A133" s="67" t="s">
        <v>919</v>
      </c>
      <c r="B133" s="84"/>
      <c r="C133" s="92">
        <v>2</v>
      </c>
      <c r="D133" s="93" t="s">
        <v>1760</v>
      </c>
      <c r="E133" s="97" t="s">
        <v>784</v>
      </c>
      <c r="F133" s="92" t="s">
        <v>1757</v>
      </c>
      <c r="G133" s="92" t="s">
        <v>29</v>
      </c>
      <c r="H133" s="92">
        <v>3</v>
      </c>
      <c r="I133" s="115" t="s">
        <v>29</v>
      </c>
      <c r="J133" s="89"/>
      <c r="K133" s="89"/>
      <c r="L133" s="89"/>
      <c r="M133" s="96" t="s">
        <v>921</v>
      </c>
      <c r="N133" s="84"/>
      <c r="O133" s="92">
        <v>2</v>
      </c>
      <c r="P133" s="93" t="s">
        <v>1761</v>
      </c>
      <c r="Q133" s="97" t="s">
        <v>788</v>
      </c>
      <c r="R133" s="92" t="s">
        <v>1757</v>
      </c>
      <c r="S133" s="92" t="s">
        <v>29</v>
      </c>
      <c r="T133" s="92">
        <v>3</v>
      </c>
      <c r="U133" s="115" t="s">
        <v>29</v>
      </c>
    </row>
    <row r="134" spans="1:21" ht="13.2" x14ac:dyDescent="0.25">
      <c r="A134" s="67" t="s">
        <v>919</v>
      </c>
      <c r="B134" s="84"/>
      <c r="C134" s="92">
        <v>3</v>
      </c>
      <c r="D134" s="93" t="s">
        <v>1762</v>
      </c>
      <c r="E134" s="97" t="s">
        <v>785</v>
      </c>
      <c r="F134" s="92" t="s">
        <v>1757</v>
      </c>
      <c r="G134" s="92" t="s">
        <v>29</v>
      </c>
      <c r="H134" s="92">
        <v>1</v>
      </c>
      <c r="I134" s="115" t="s">
        <v>29</v>
      </c>
      <c r="J134" s="89"/>
      <c r="K134" s="89"/>
      <c r="L134" s="89"/>
      <c r="M134" s="96" t="s">
        <v>921</v>
      </c>
      <c r="N134" s="84"/>
      <c r="O134" s="92">
        <v>3</v>
      </c>
      <c r="P134" s="93" t="s">
        <v>1763</v>
      </c>
      <c r="Q134" s="97" t="s">
        <v>789</v>
      </c>
      <c r="R134" s="92" t="s">
        <v>1757</v>
      </c>
      <c r="S134" s="92" t="s">
        <v>29</v>
      </c>
      <c r="T134" s="92">
        <v>1</v>
      </c>
      <c r="U134" s="115" t="s">
        <v>29</v>
      </c>
    </row>
    <row r="135" spans="1:21" ht="13.2" x14ac:dyDescent="0.25">
      <c r="A135" s="67" t="s">
        <v>919</v>
      </c>
      <c r="B135" s="84"/>
      <c r="C135" s="92">
        <v>4</v>
      </c>
      <c r="D135" s="93" t="s">
        <v>1764</v>
      </c>
      <c r="E135" s="97" t="s">
        <v>835</v>
      </c>
      <c r="F135" s="92" t="s">
        <v>1756</v>
      </c>
      <c r="G135" s="92" t="s">
        <v>29</v>
      </c>
      <c r="H135" s="92" t="s">
        <v>29</v>
      </c>
      <c r="I135" s="115" t="s">
        <v>29</v>
      </c>
      <c r="J135" s="89"/>
      <c r="K135" s="89"/>
      <c r="L135" s="89"/>
      <c r="M135" s="96" t="s">
        <v>921</v>
      </c>
      <c r="N135" s="84"/>
      <c r="O135" s="92">
        <v>4</v>
      </c>
      <c r="P135" s="93" t="s">
        <v>1765</v>
      </c>
      <c r="Q135" s="97" t="s">
        <v>790</v>
      </c>
      <c r="R135" s="92" t="s">
        <v>1757</v>
      </c>
      <c r="S135" s="92" t="s">
        <v>29</v>
      </c>
      <c r="T135" s="92" t="s">
        <v>29</v>
      </c>
      <c r="U135" s="115" t="s">
        <v>29</v>
      </c>
    </row>
    <row r="136" spans="1:21" ht="13.2" x14ac:dyDescent="0.25">
      <c r="A136" s="67" t="s">
        <v>919</v>
      </c>
      <c r="B136" s="84"/>
      <c r="C136" s="92">
        <v>5</v>
      </c>
      <c r="D136" s="93" t="s">
        <v>1766</v>
      </c>
      <c r="E136" s="97" t="s">
        <v>489</v>
      </c>
      <c r="F136" s="92" t="s">
        <v>1757</v>
      </c>
      <c r="G136" s="92" t="s">
        <v>29</v>
      </c>
      <c r="H136" s="92" t="s">
        <v>29</v>
      </c>
      <c r="I136" s="115" t="s">
        <v>29</v>
      </c>
      <c r="J136" s="89"/>
      <c r="K136" s="89"/>
      <c r="L136" s="89"/>
      <c r="M136" s="96" t="s">
        <v>921</v>
      </c>
      <c r="N136" s="84"/>
      <c r="O136" s="92">
        <v>5</v>
      </c>
      <c r="P136" s="93" t="s">
        <v>1767</v>
      </c>
      <c r="Q136" s="97" t="s">
        <v>124</v>
      </c>
      <c r="R136" s="92" t="s">
        <v>1757</v>
      </c>
      <c r="S136" s="92" t="s">
        <v>29</v>
      </c>
      <c r="T136" s="92" t="s">
        <v>29</v>
      </c>
      <c r="U136" s="115" t="s">
        <v>29</v>
      </c>
    </row>
    <row r="137" spans="1:21" ht="13.2" x14ac:dyDescent="0.25">
      <c r="A137" s="67" t="s">
        <v>919</v>
      </c>
      <c r="B137" s="84"/>
      <c r="C137" s="92">
        <v>6</v>
      </c>
      <c r="D137" s="93" t="s">
        <v>1768</v>
      </c>
      <c r="E137" s="97" t="s">
        <v>546</v>
      </c>
      <c r="F137" s="92" t="s">
        <v>1756</v>
      </c>
      <c r="G137" s="92" t="s">
        <v>29</v>
      </c>
      <c r="H137" s="92" t="s">
        <v>29</v>
      </c>
      <c r="I137" s="115" t="s">
        <v>29</v>
      </c>
      <c r="J137" s="89"/>
      <c r="K137" s="89"/>
      <c r="L137" s="89"/>
      <c r="M137" s="96" t="s">
        <v>921</v>
      </c>
      <c r="N137" s="84"/>
      <c r="O137" s="92">
        <v>6</v>
      </c>
      <c r="P137" s="93" t="s">
        <v>1769</v>
      </c>
      <c r="Q137" s="97" t="s">
        <v>837</v>
      </c>
      <c r="R137" s="92" t="s">
        <v>1756</v>
      </c>
      <c r="S137" s="92" t="s">
        <v>29</v>
      </c>
      <c r="T137" s="92" t="s">
        <v>29</v>
      </c>
      <c r="U137" s="115" t="s">
        <v>29</v>
      </c>
    </row>
    <row r="138" spans="1:21" ht="13.2" x14ac:dyDescent="0.25">
      <c r="A138" s="67" t="s">
        <v>919</v>
      </c>
      <c r="B138" s="84"/>
      <c r="C138" s="92">
        <v>7</v>
      </c>
      <c r="D138" s="93" t="s">
        <v>1770</v>
      </c>
      <c r="E138" s="97" t="s">
        <v>315</v>
      </c>
      <c r="F138" s="92" t="s">
        <v>1756</v>
      </c>
      <c r="G138" s="92" t="s">
        <v>29</v>
      </c>
      <c r="H138" s="92" t="s">
        <v>29</v>
      </c>
      <c r="I138" s="115" t="s">
        <v>29</v>
      </c>
      <c r="J138" s="89"/>
      <c r="K138" s="89"/>
      <c r="L138" s="89"/>
      <c r="M138" s="96" t="s">
        <v>921</v>
      </c>
      <c r="N138" s="84"/>
      <c r="O138" s="92">
        <v>7</v>
      </c>
      <c r="P138" s="93" t="s">
        <v>1771</v>
      </c>
      <c r="Q138" s="97" t="s">
        <v>270</v>
      </c>
      <c r="R138" s="92" t="s">
        <v>1756</v>
      </c>
      <c r="S138" s="92" t="s">
        <v>29</v>
      </c>
      <c r="T138" s="92" t="s">
        <v>29</v>
      </c>
      <c r="U138" s="115" t="s">
        <v>29</v>
      </c>
    </row>
    <row r="139" spans="1:21" ht="13.2" x14ac:dyDescent="0.25">
      <c r="A139" s="67" t="s">
        <v>919</v>
      </c>
      <c r="B139" s="84"/>
      <c r="C139" s="92">
        <v>8</v>
      </c>
      <c r="D139" s="98" t="s">
        <v>1772</v>
      </c>
      <c r="E139" s="97" t="s">
        <v>834</v>
      </c>
      <c r="F139" s="92" t="s">
        <v>1756</v>
      </c>
      <c r="G139" s="92" t="s">
        <v>29</v>
      </c>
      <c r="H139" s="92" t="s">
        <v>29</v>
      </c>
      <c r="I139" s="115" t="s">
        <v>29</v>
      </c>
      <c r="J139" s="89"/>
      <c r="K139" s="89"/>
      <c r="L139" s="89"/>
      <c r="M139" s="96" t="s">
        <v>921</v>
      </c>
      <c r="N139" s="84"/>
      <c r="O139" s="92">
        <v>8</v>
      </c>
      <c r="P139" s="93" t="s">
        <v>1773</v>
      </c>
      <c r="Q139" s="97" t="s">
        <v>786</v>
      </c>
      <c r="R139" s="92" t="s">
        <v>1757</v>
      </c>
      <c r="S139" s="92" t="s">
        <v>29</v>
      </c>
      <c r="T139" s="92" t="s">
        <v>29</v>
      </c>
      <c r="U139" s="115" t="s">
        <v>29</v>
      </c>
    </row>
    <row r="140" spans="1:21" ht="13.2" x14ac:dyDescent="0.25">
      <c r="A140" s="67" t="s">
        <v>919</v>
      </c>
      <c r="B140" s="84"/>
      <c r="C140" s="92">
        <v>9</v>
      </c>
      <c r="D140" s="98" t="s">
        <v>1774</v>
      </c>
      <c r="E140" s="97" t="s">
        <v>836</v>
      </c>
      <c r="F140" s="92" t="s">
        <v>1756</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919</v>
      </c>
      <c r="B141" s="84"/>
      <c r="C141" s="92">
        <v>10</v>
      </c>
      <c r="D141" s="98" t="s">
        <v>1775</v>
      </c>
      <c r="E141" s="97" t="s">
        <v>715</v>
      </c>
      <c r="F141" s="92" t="s">
        <v>1757</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919</v>
      </c>
      <c r="B142" s="84"/>
      <c r="C142" s="92">
        <v>11</v>
      </c>
      <c r="D142" s="98" t="s">
        <v>1776</v>
      </c>
      <c r="E142" s="97" t="s">
        <v>407</v>
      </c>
      <c r="F142" s="92" t="s">
        <v>1757</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919</v>
      </c>
      <c r="B143" s="84"/>
      <c r="C143" s="92">
        <v>12</v>
      </c>
      <c r="D143" s="98" t="s">
        <v>1777</v>
      </c>
      <c r="E143" s="97" t="s">
        <v>833</v>
      </c>
      <c r="F143" s="92" t="s">
        <v>1756</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84"/>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20"/>
      <c r="E157" s="220"/>
      <c r="F157" s="220"/>
      <c r="G157" s="99">
        <v>5</v>
      </c>
      <c r="H157" s="99">
        <v>4</v>
      </c>
      <c r="I157" s="115" t="s">
        <v>29</v>
      </c>
      <c r="J157" s="89"/>
      <c r="K157" s="89"/>
      <c r="L157" s="89"/>
      <c r="M157" s="96" t="s">
        <v>29</v>
      </c>
      <c r="N157" s="84"/>
      <c r="O157" s="219" t="s">
        <v>955</v>
      </c>
      <c r="P157" s="220"/>
      <c r="Q157" s="220"/>
      <c r="R157" s="220"/>
      <c r="S157" s="99">
        <v>0</v>
      </c>
      <c r="T157" s="99">
        <v>9</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1778</v>
      </c>
      <c r="E161" s="94" t="s">
        <v>841</v>
      </c>
      <c r="F161" s="92" t="s">
        <v>1756</v>
      </c>
      <c r="G161" s="92">
        <v>5</v>
      </c>
      <c r="H161" s="92" t="s">
        <v>29</v>
      </c>
      <c r="I161" s="116" t="s">
        <v>29</v>
      </c>
      <c r="J161" s="89"/>
      <c r="K161" s="89"/>
      <c r="L161" s="89"/>
      <c r="M161" s="96" t="s">
        <v>925</v>
      </c>
      <c r="N161" s="108"/>
      <c r="O161" s="92">
        <v>1</v>
      </c>
      <c r="P161" s="93" t="s">
        <v>1779</v>
      </c>
      <c r="Q161" s="94" t="s">
        <v>839</v>
      </c>
      <c r="R161" s="92" t="s">
        <v>1756</v>
      </c>
      <c r="S161" s="92">
        <v>5</v>
      </c>
      <c r="T161" s="92" t="s">
        <v>29</v>
      </c>
      <c r="U161" s="116" t="s">
        <v>64</v>
      </c>
    </row>
    <row r="162" spans="1:21" ht="26.4" x14ac:dyDescent="0.25">
      <c r="A162" s="67" t="s">
        <v>923</v>
      </c>
      <c r="B162" s="108"/>
      <c r="C162" s="92">
        <v>2</v>
      </c>
      <c r="D162" s="93" t="s">
        <v>1780</v>
      </c>
      <c r="E162" s="97" t="s">
        <v>683</v>
      </c>
      <c r="F162" s="92" t="s">
        <v>1757</v>
      </c>
      <c r="G162" s="92" t="s">
        <v>29</v>
      </c>
      <c r="H162" s="92">
        <v>3</v>
      </c>
      <c r="I162" s="116" t="s">
        <v>29</v>
      </c>
      <c r="J162" s="89"/>
      <c r="K162" s="89"/>
      <c r="L162" s="89"/>
      <c r="M162" s="96" t="s">
        <v>925</v>
      </c>
      <c r="N162" s="108"/>
      <c r="O162" s="92">
        <v>2</v>
      </c>
      <c r="P162" s="93" t="s">
        <v>1781</v>
      </c>
      <c r="Q162" s="97" t="s">
        <v>275</v>
      </c>
      <c r="R162" s="92" t="s">
        <v>1757</v>
      </c>
      <c r="S162" s="92" t="s">
        <v>29</v>
      </c>
      <c r="T162" s="92">
        <v>3</v>
      </c>
      <c r="U162" s="116" t="s">
        <v>64</v>
      </c>
    </row>
    <row r="163" spans="1:21" ht="13.2" x14ac:dyDescent="0.25">
      <c r="A163" s="67" t="s">
        <v>923</v>
      </c>
      <c r="B163" s="108"/>
      <c r="C163" s="92">
        <v>3</v>
      </c>
      <c r="D163" s="93" t="s">
        <v>1782</v>
      </c>
      <c r="E163" s="97" t="s">
        <v>154</v>
      </c>
      <c r="F163" s="92" t="s">
        <v>1756</v>
      </c>
      <c r="G163" s="92">
        <v>1</v>
      </c>
      <c r="H163" s="92" t="s">
        <v>29</v>
      </c>
      <c r="I163" s="116" t="s">
        <v>29</v>
      </c>
      <c r="J163" s="89"/>
      <c r="K163" s="89"/>
      <c r="L163" s="89"/>
      <c r="M163" s="96" t="s">
        <v>925</v>
      </c>
      <c r="N163" s="108"/>
      <c r="O163" s="92">
        <v>3</v>
      </c>
      <c r="P163" s="93" t="s">
        <v>1783</v>
      </c>
      <c r="Q163" s="97" t="s">
        <v>838</v>
      </c>
      <c r="R163" s="92" t="s">
        <v>1756</v>
      </c>
      <c r="S163" s="92">
        <v>1</v>
      </c>
      <c r="T163" s="92" t="s">
        <v>29</v>
      </c>
      <c r="U163" s="116" t="s">
        <v>64</v>
      </c>
    </row>
    <row r="164" spans="1:21" ht="13.2" x14ac:dyDescent="0.25">
      <c r="A164" s="67" t="s">
        <v>923</v>
      </c>
      <c r="B164" s="108"/>
      <c r="C164" s="92">
        <v>4</v>
      </c>
      <c r="D164" s="93" t="s">
        <v>1784</v>
      </c>
      <c r="E164" s="97" t="s">
        <v>796</v>
      </c>
      <c r="F164" s="92" t="s">
        <v>1757</v>
      </c>
      <c r="G164" s="92" t="s">
        <v>29</v>
      </c>
      <c r="H164" s="92" t="s">
        <v>29</v>
      </c>
      <c r="I164" s="116" t="s">
        <v>29</v>
      </c>
      <c r="J164" s="89"/>
      <c r="K164" s="89"/>
      <c r="L164" s="89"/>
      <c r="M164" s="96" t="s">
        <v>29</v>
      </c>
      <c r="N164" s="108"/>
      <c r="O164" s="92" t="s">
        <v>29</v>
      </c>
      <c r="P164" s="93" t="s">
        <v>29</v>
      </c>
      <c r="Q164" s="97" t="s">
        <v>29</v>
      </c>
      <c r="R164" s="92" t="s">
        <v>29</v>
      </c>
      <c r="S164" s="92" t="s">
        <v>29</v>
      </c>
      <c r="T164" s="92" t="s">
        <v>29</v>
      </c>
      <c r="U164" s="116" t="s">
        <v>29</v>
      </c>
    </row>
    <row r="165" spans="1:21" ht="13.2" x14ac:dyDescent="0.25">
      <c r="A165" s="67" t="s">
        <v>923</v>
      </c>
      <c r="B165" s="108"/>
      <c r="C165" s="92">
        <v>5</v>
      </c>
      <c r="D165" s="93" t="s">
        <v>1785</v>
      </c>
      <c r="E165" s="97" t="s">
        <v>797</v>
      </c>
      <c r="F165" s="92" t="s">
        <v>1757</v>
      </c>
      <c r="G165" s="92" t="s">
        <v>29</v>
      </c>
      <c r="H165" s="92" t="s">
        <v>29</v>
      </c>
      <c r="I165" s="116" t="s">
        <v>29</v>
      </c>
      <c r="J165" s="89"/>
      <c r="K165" s="89"/>
      <c r="L165" s="89"/>
      <c r="M165" s="96" t="s">
        <v>29</v>
      </c>
      <c r="N165" s="108"/>
      <c r="O165" s="92" t="s">
        <v>29</v>
      </c>
      <c r="P165" s="93" t="s">
        <v>29</v>
      </c>
      <c r="Q165" s="97" t="s">
        <v>29</v>
      </c>
      <c r="R165" s="92" t="s">
        <v>29</v>
      </c>
      <c r="S165" s="92" t="s">
        <v>29</v>
      </c>
      <c r="T165" s="92" t="s">
        <v>29</v>
      </c>
      <c r="U165" s="116" t="s">
        <v>29</v>
      </c>
    </row>
    <row r="166" spans="1:21" ht="13.2" x14ac:dyDescent="0.25">
      <c r="A166" s="67" t="s">
        <v>923</v>
      </c>
      <c r="B166" s="108"/>
      <c r="C166" s="92">
        <v>6</v>
      </c>
      <c r="D166" s="93" t="s">
        <v>1786</v>
      </c>
      <c r="E166" s="97" t="s">
        <v>795</v>
      </c>
      <c r="F166" s="92" t="s">
        <v>1757</v>
      </c>
      <c r="G166" s="92" t="s">
        <v>29</v>
      </c>
      <c r="H166" s="92" t="s">
        <v>29</v>
      </c>
      <c r="I166" s="116" t="s">
        <v>29</v>
      </c>
      <c r="J166" s="89"/>
      <c r="K166" s="89"/>
      <c r="L166" s="89"/>
      <c r="M166" s="96" t="s">
        <v>29</v>
      </c>
      <c r="N166" s="108"/>
      <c r="O166" s="92" t="s">
        <v>29</v>
      </c>
      <c r="P166" s="93" t="s">
        <v>29</v>
      </c>
      <c r="Q166" s="97" t="s">
        <v>29</v>
      </c>
      <c r="R166" s="92" t="s">
        <v>29</v>
      </c>
      <c r="S166" s="92" t="s">
        <v>29</v>
      </c>
      <c r="T166" s="92" t="s">
        <v>29</v>
      </c>
      <c r="U166" s="116" t="s">
        <v>29</v>
      </c>
    </row>
    <row r="167" spans="1:21" ht="13.2" x14ac:dyDescent="0.25">
      <c r="A167" s="67" t="s">
        <v>923</v>
      </c>
      <c r="B167" s="108"/>
      <c r="C167" s="92">
        <v>7</v>
      </c>
      <c r="D167" s="93" t="s">
        <v>1787</v>
      </c>
      <c r="E167" s="97" t="s">
        <v>599</v>
      </c>
      <c r="F167" s="92" t="s">
        <v>1756</v>
      </c>
      <c r="G167" s="92" t="s">
        <v>29</v>
      </c>
      <c r="H167" s="92" t="s">
        <v>29</v>
      </c>
      <c r="I167" s="116" t="s">
        <v>29</v>
      </c>
      <c r="J167" s="89"/>
      <c r="K167" s="89"/>
      <c r="L167" s="89"/>
      <c r="M167" s="96" t="s">
        <v>29</v>
      </c>
      <c r="N167" s="108"/>
      <c r="O167" s="92" t="s">
        <v>29</v>
      </c>
      <c r="P167" s="93" t="s">
        <v>29</v>
      </c>
      <c r="Q167" s="97" t="s">
        <v>29</v>
      </c>
      <c r="R167" s="92" t="s">
        <v>29</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20"/>
      <c r="E176" s="220"/>
      <c r="F176" s="222"/>
      <c r="G176" s="99">
        <v>6</v>
      </c>
      <c r="H176" s="99">
        <v>3</v>
      </c>
      <c r="I176" s="116" t="s">
        <v>29</v>
      </c>
      <c r="J176" s="89"/>
      <c r="K176" s="89"/>
      <c r="L176" s="89"/>
      <c r="M176" s="96" t="s">
        <v>29</v>
      </c>
      <c r="N176" s="108"/>
      <c r="O176" s="219" t="s">
        <v>972</v>
      </c>
      <c r="P176" s="220"/>
      <c r="Q176" s="220"/>
      <c r="R176" s="222"/>
      <c r="S176" s="99">
        <v>6</v>
      </c>
      <c r="T176" s="99">
        <v>3</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1788</v>
      </c>
      <c r="E180" s="94" t="s">
        <v>596</v>
      </c>
      <c r="F180" s="92" t="s">
        <v>1756</v>
      </c>
      <c r="G180" s="92">
        <v>5</v>
      </c>
      <c r="H180" s="92" t="s">
        <v>29</v>
      </c>
      <c r="I180" s="115" t="s">
        <v>29</v>
      </c>
      <c r="J180" s="89"/>
      <c r="K180" s="89"/>
      <c r="L180" s="89"/>
      <c r="M180" s="96" t="s">
        <v>929</v>
      </c>
      <c r="N180" s="84"/>
      <c r="O180" s="92">
        <v>1</v>
      </c>
      <c r="P180" s="93" t="s">
        <v>1789</v>
      </c>
      <c r="Q180" s="94" t="s">
        <v>794</v>
      </c>
      <c r="R180" s="92" t="s">
        <v>1757</v>
      </c>
      <c r="S180" s="92" t="s">
        <v>29</v>
      </c>
      <c r="T180" s="92">
        <v>5</v>
      </c>
      <c r="U180" s="115" t="s">
        <v>29</v>
      </c>
    </row>
    <row r="181" spans="1:21" ht="13.2" x14ac:dyDescent="0.25">
      <c r="A181" s="67" t="s">
        <v>927</v>
      </c>
      <c r="B181" s="84"/>
      <c r="C181" s="92">
        <v>2</v>
      </c>
      <c r="D181" s="93" t="s">
        <v>1790</v>
      </c>
      <c r="E181" s="97" t="s">
        <v>840</v>
      </c>
      <c r="F181" s="92" t="s">
        <v>1756</v>
      </c>
      <c r="G181" s="92">
        <v>3</v>
      </c>
      <c r="H181" s="92" t="s">
        <v>29</v>
      </c>
      <c r="I181" s="115" t="s">
        <v>29</v>
      </c>
      <c r="J181" s="89"/>
      <c r="K181" s="89"/>
      <c r="L181" s="89"/>
      <c r="M181" s="96" t="s">
        <v>29</v>
      </c>
      <c r="N181" s="84"/>
      <c r="O181" s="92" t="s">
        <v>29</v>
      </c>
      <c r="P181" s="93" t="s">
        <v>29</v>
      </c>
      <c r="Q181" s="97" t="s">
        <v>29</v>
      </c>
      <c r="R181" s="92" t="s">
        <v>29</v>
      </c>
      <c r="S181" s="92" t="s">
        <v>29</v>
      </c>
      <c r="T181" s="92" t="s">
        <v>29</v>
      </c>
      <c r="U181" s="115" t="s">
        <v>29</v>
      </c>
    </row>
    <row r="182" spans="1:21" ht="13.2" x14ac:dyDescent="0.25">
      <c r="A182" s="67" t="s">
        <v>927</v>
      </c>
      <c r="B182" s="84"/>
      <c r="C182" s="92">
        <v>3</v>
      </c>
      <c r="D182" s="93" t="s">
        <v>1791</v>
      </c>
      <c r="E182" s="97" t="s">
        <v>793</v>
      </c>
      <c r="F182" s="92" t="s">
        <v>1757</v>
      </c>
      <c r="G182" s="92" t="s">
        <v>29</v>
      </c>
      <c r="H182" s="92">
        <v>1</v>
      </c>
      <c r="I182" s="115" t="s">
        <v>29</v>
      </c>
      <c r="J182" s="89"/>
      <c r="K182" s="89"/>
      <c r="L182" s="89"/>
      <c r="M182" s="96" t="s">
        <v>29</v>
      </c>
      <c r="N182" s="84"/>
      <c r="O182" s="92" t="s">
        <v>29</v>
      </c>
      <c r="P182" s="93" t="s">
        <v>29</v>
      </c>
      <c r="Q182" s="97" t="s">
        <v>29</v>
      </c>
      <c r="R182" s="92" t="s">
        <v>29</v>
      </c>
      <c r="S182" s="92" t="s">
        <v>29</v>
      </c>
      <c r="T182" s="92" t="s">
        <v>29</v>
      </c>
      <c r="U182" s="115" t="s">
        <v>29</v>
      </c>
    </row>
    <row r="183" spans="1:21" ht="13.2" x14ac:dyDescent="0.25">
      <c r="A183" s="67" t="s">
        <v>927</v>
      </c>
      <c r="B183" s="84"/>
      <c r="C183" s="92">
        <v>4</v>
      </c>
      <c r="D183" s="93" t="s">
        <v>1792</v>
      </c>
      <c r="E183" s="97" t="s">
        <v>176</v>
      </c>
      <c r="F183" s="92" t="s">
        <v>1756</v>
      </c>
      <c r="G183" s="92" t="s">
        <v>29</v>
      </c>
      <c r="H183" s="92" t="s">
        <v>29</v>
      </c>
      <c r="I183" s="115" t="s">
        <v>29</v>
      </c>
      <c r="J183" s="89"/>
      <c r="K183" s="89"/>
      <c r="L183" s="89"/>
      <c r="M183" s="96" t="s">
        <v>29</v>
      </c>
      <c r="N183" s="84"/>
      <c r="O183" s="92" t="s">
        <v>29</v>
      </c>
      <c r="P183" s="93" t="s">
        <v>29</v>
      </c>
      <c r="Q183" s="97" t="s">
        <v>29</v>
      </c>
      <c r="R183" s="92" t="s">
        <v>29</v>
      </c>
      <c r="S183" s="92" t="s">
        <v>29</v>
      </c>
      <c r="T183" s="92" t="s">
        <v>29</v>
      </c>
      <c r="U183" s="115" t="s">
        <v>29</v>
      </c>
    </row>
    <row r="184" spans="1:21" ht="13.2" x14ac:dyDescent="0.25">
      <c r="A184" s="67" t="s">
        <v>927</v>
      </c>
      <c r="B184" s="84"/>
      <c r="C184" s="92">
        <v>5</v>
      </c>
      <c r="D184" s="93" t="s">
        <v>1793</v>
      </c>
      <c r="E184" s="97" t="s">
        <v>791</v>
      </c>
      <c r="F184" s="92" t="s">
        <v>1757</v>
      </c>
      <c r="G184" s="92" t="s">
        <v>29</v>
      </c>
      <c r="H184" s="92" t="s">
        <v>29</v>
      </c>
      <c r="I184" s="115" t="s">
        <v>29</v>
      </c>
      <c r="J184" s="89"/>
      <c r="K184" s="89"/>
      <c r="L184" s="89"/>
      <c r="M184" s="96" t="s">
        <v>29</v>
      </c>
      <c r="N184" s="84"/>
      <c r="O184" s="92" t="s">
        <v>29</v>
      </c>
      <c r="P184" s="93" t="s">
        <v>29</v>
      </c>
      <c r="Q184" s="97" t="s">
        <v>29</v>
      </c>
      <c r="R184" s="92" t="s">
        <v>29</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84"/>
      <c r="C187" s="92" t="s">
        <v>29</v>
      </c>
      <c r="D187" s="93" t="s">
        <v>29</v>
      </c>
      <c r="E187" s="97" t="s">
        <v>29</v>
      </c>
      <c r="F187" s="92" t="s">
        <v>29</v>
      </c>
      <c r="G187" s="92" t="s">
        <v>29</v>
      </c>
      <c r="H187" s="92" t="s">
        <v>29</v>
      </c>
      <c r="I187" s="115" t="s">
        <v>29</v>
      </c>
      <c r="J187" s="89"/>
      <c r="K187" s="89"/>
      <c r="L187" s="89"/>
      <c r="M187" s="96" t="s">
        <v>29</v>
      </c>
      <c r="N187" s="84"/>
      <c r="O187" s="92" t="s">
        <v>29</v>
      </c>
      <c r="P187" s="93" t="s">
        <v>29</v>
      </c>
      <c r="Q187" s="97" t="s">
        <v>29</v>
      </c>
      <c r="R187" s="92" t="s">
        <v>29</v>
      </c>
      <c r="S187" s="92" t="s">
        <v>29</v>
      </c>
      <c r="T187" s="92" t="s">
        <v>29</v>
      </c>
      <c r="U187" s="115" t="s">
        <v>29</v>
      </c>
    </row>
    <row r="188" spans="1:21" ht="13.2" x14ac:dyDescent="0.25">
      <c r="A188" s="67" t="s">
        <v>29</v>
      </c>
      <c r="B188" s="84"/>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84"/>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84"/>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84"/>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20"/>
      <c r="E195" s="220"/>
      <c r="F195" s="220"/>
      <c r="G195" s="99">
        <v>8</v>
      </c>
      <c r="H195" s="99">
        <v>1</v>
      </c>
      <c r="I195" s="115" t="s">
        <v>29</v>
      </c>
      <c r="J195" s="89"/>
      <c r="K195" s="89"/>
      <c r="L195" s="89"/>
      <c r="M195" s="96" t="s">
        <v>29</v>
      </c>
      <c r="N195" s="84"/>
      <c r="O195" s="219" t="s">
        <v>985</v>
      </c>
      <c r="P195" s="220"/>
      <c r="Q195" s="220"/>
      <c r="R195" s="220"/>
      <c r="S195" s="99">
        <v>0</v>
      </c>
      <c r="T195" s="99">
        <v>5</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08"/>
      <c r="C199" s="92">
        <v>1</v>
      </c>
      <c r="D199" s="93" t="s">
        <v>1794</v>
      </c>
      <c r="E199" s="94" t="s">
        <v>792</v>
      </c>
      <c r="F199" s="92" t="s">
        <v>1757</v>
      </c>
      <c r="G199" s="92" t="s">
        <v>29</v>
      </c>
      <c r="H199" s="92">
        <v>5</v>
      </c>
      <c r="I199" s="116" t="s">
        <v>64</v>
      </c>
      <c r="J199" s="89"/>
      <c r="K199" s="89"/>
      <c r="L199" s="89"/>
      <c r="M199" s="96" t="s">
        <v>933</v>
      </c>
      <c r="N199" s="108"/>
      <c r="O199" s="92">
        <v>1</v>
      </c>
      <c r="P199" s="93" t="s">
        <v>1795</v>
      </c>
      <c r="Q199" s="94" t="s">
        <v>843</v>
      </c>
      <c r="R199" s="92" t="s">
        <v>1756</v>
      </c>
      <c r="S199" s="92">
        <v>5</v>
      </c>
      <c r="T199" s="92" t="s">
        <v>29</v>
      </c>
      <c r="U199" s="116" t="s">
        <v>29</v>
      </c>
    </row>
    <row r="200" spans="1:21" ht="13.2" x14ac:dyDescent="0.25">
      <c r="A200" s="67" t="s">
        <v>931</v>
      </c>
      <c r="B200" s="108"/>
      <c r="C200" s="92">
        <v>2</v>
      </c>
      <c r="D200" s="93" t="s">
        <v>1796</v>
      </c>
      <c r="E200" s="97" t="s">
        <v>842</v>
      </c>
      <c r="F200" s="92" t="s">
        <v>1756</v>
      </c>
      <c r="G200" s="92">
        <v>3</v>
      </c>
      <c r="H200" s="92" t="s">
        <v>29</v>
      </c>
      <c r="I200" s="116" t="s">
        <v>29</v>
      </c>
      <c r="J200" s="89"/>
      <c r="K200" s="89"/>
      <c r="L200" s="89"/>
      <c r="M200" s="96" t="s">
        <v>29</v>
      </c>
      <c r="N200" s="108"/>
      <c r="O200" s="92" t="s">
        <v>29</v>
      </c>
      <c r="P200" s="93" t="s">
        <v>29</v>
      </c>
      <c r="Q200" s="97" t="s">
        <v>29</v>
      </c>
      <c r="R200" s="92" t="s">
        <v>29</v>
      </c>
      <c r="S200" s="92" t="s">
        <v>29</v>
      </c>
      <c r="T200" s="92" t="s">
        <v>29</v>
      </c>
      <c r="U200" s="116" t="s">
        <v>29</v>
      </c>
    </row>
    <row r="201" spans="1:21" ht="13.2" x14ac:dyDescent="0.25">
      <c r="A201" s="67" t="s">
        <v>29</v>
      </c>
      <c r="B201" s="108"/>
      <c r="C201" s="92" t="s">
        <v>29</v>
      </c>
      <c r="D201" s="93" t="s">
        <v>29</v>
      </c>
      <c r="E201" s="97" t="s">
        <v>29</v>
      </c>
      <c r="F201" s="92" t="s">
        <v>29</v>
      </c>
      <c r="G201" s="92" t="s">
        <v>29</v>
      </c>
      <c r="H201" s="92" t="s">
        <v>29</v>
      </c>
      <c r="I201" s="116" t="s">
        <v>29</v>
      </c>
      <c r="J201" s="89"/>
      <c r="K201" s="89"/>
      <c r="L201" s="89"/>
      <c r="M201" s="96" t="s">
        <v>29</v>
      </c>
      <c r="N201" s="108"/>
      <c r="O201" s="92" t="s">
        <v>29</v>
      </c>
      <c r="P201" s="93" t="s">
        <v>29</v>
      </c>
      <c r="Q201" s="97" t="s">
        <v>29</v>
      </c>
      <c r="R201" s="92" t="s">
        <v>29</v>
      </c>
      <c r="S201" s="92" t="s">
        <v>29</v>
      </c>
      <c r="T201" s="92" t="s">
        <v>29</v>
      </c>
      <c r="U201" s="116" t="s">
        <v>29</v>
      </c>
    </row>
    <row r="202" spans="1:21" ht="13.2" x14ac:dyDescent="0.25">
      <c r="A202" s="67" t="s">
        <v>29</v>
      </c>
      <c r="B202" s="108"/>
      <c r="C202" s="92" t="s">
        <v>29</v>
      </c>
      <c r="D202" s="93" t="s">
        <v>29</v>
      </c>
      <c r="E202" s="97" t="s">
        <v>29</v>
      </c>
      <c r="F202" s="92" t="s">
        <v>29</v>
      </c>
      <c r="G202" s="92" t="s">
        <v>29</v>
      </c>
      <c r="H202" s="92" t="s">
        <v>29</v>
      </c>
      <c r="I202" s="116" t="s">
        <v>29</v>
      </c>
      <c r="J202" s="89"/>
      <c r="K202" s="89"/>
      <c r="L202" s="89"/>
      <c r="M202" s="96" t="s">
        <v>29</v>
      </c>
      <c r="N202" s="108"/>
      <c r="O202" s="92" t="s">
        <v>29</v>
      </c>
      <c r="P202" s="93" t="s">
        <v>29</v>
      </c>
      <c r="Q202" s="97" t="s">
        <v>29</v>
      </c>
      <c r="R202" s="92" t="s">
        <v>29</v>
      </c>
      <c r="S202" s="92" t="s">
        <v>29</v>
      </c>
      <c r="T202" s="92" t="s">
        <v>29</v>
      </c>
      <c r="U202" s="116" t="s">
        <v>29</v>
      </c>
    </row>
    <row r="203" spans="1:21" ht="13.2" x14ac:dyDescent="0.25">
      <c r="A203" s="67" t="s">
        <v>29</v>
      </c>
      <c r="B203" s="108"/>
      <c r="C203" s="92" t="s">
        <v>29</v>
      </c>
      <c r="D203" s="93" t="s">
        <v>29</v>
      </c>
      <c r="E203" s="97" t="s">
        <v>29</v>
      </c>
      <c r="F203" s="92" t="s">
        <v>29</v>
      </c>
      <c r="G203" s="92" t="s">
        <v>29</v>
      </c>
      <c r="H203" s="92" t="s">
        <v>29</v>
      </c>
      <c r="I203" s="116" t="s">
        <v>29</v>
      </c>
      <c r="J203" s="89"/>
      <c r="K203" s="89"/>
      <c r="L203" s="89"/>
      <c r="M203" s="96" t="s">
        <v>29</v>
      </c>
      <c r="N203" s="108"/>
      <c r="O203" s="92" t="s">
        <v>29</v>
      </c>
      <c r="P203" s="93" t="s">
        <v>29</v>
      </c>
      <c r="Q203" s="97" t="s">
        <v>29</v>
      </c>
      <c r="R203" s="92" t="s">
        <v>29</v>
      </c>
      <c r="S203" s="92" t="s">
        <v>29</v>
      </c>
      <c r="T203" s="92" t="s">
        <v>29</v>
      </c>
      <c r="U203" s="116" t="s">
        <v>29</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20"/>
      <c r="E214" s="220"/>
      <c r="F214" s="220"/>
      <c r="G214" s="99">
        <v>3</v>
      </c>
      <c r="H214" s="99">
        <v>5</v>
      </c>
      <c r="I214" s="116" t="s">
        <v>29</v>
      </c>
      <c r="J214" s="89"/>
      <c r="K214" s="89"/>
      <c r="L214" s="89"/>
      <c r="M214" s="96" t="s">
        <v>29</v>
      </c>
      <c r="N214" s="108"/>
      <c r="O214" s="219" t="s">
        <v>996</v>
      </c>
      <c r="P214" s="220"/>
      <c r="Q214" s="220"/>
      <c r="R214" s="220"/>
      <c r="S214" s="99">
        <v>5</v>
      </c>
      <c r="T214" s="99">
        <v>0</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1797</v>
      </c>
      <c r="R216" s="220"/>
      <c r="S216" s="220"/>
      <c r="T216" s="222"/>
      <c r="U216" s="66" t="s">
        <v>29</v>
      </c>
    </row>
    <row r="217" spans="1:21" ht="13.2" x14ac:dyDescent="0.25">
      <c r="A217" s="67"/>
      <c r="B217" s="66"/>
      <c r="C217" s="245" t="s">
        <v>1798</v>
      </c>
      <c r="D217" s="227"/>
      <c r="E217" s="227"/>
      <c r="F217" s="227"/>
      <c r="G217" s="227"/>
      <c r="H217" s="228"/>
      <c r="I217" s="89" t="s">
        <v>29</v>
      </c>
      <c r="J217" s="89"/>
      <c r="K217" s="89"/>
      <c r="L217" s="89"/>
      <c r="M217" s="96"/>
      <c r="N217" s="119"/>
      <c r="O217" s="120" t="s">
        <v>1001</v>
      </c>
      <c r="P217" s="121"/>
      <c r="Q217" s="221" t="s">
        <v>1799</v>
      </c>
      <c r="R217" s="220"/>
      <c r="S217" s="220"/>
      <c r="T217" s="222"/>
      <c r="U217" s="66" t="s">
        <v>29</v>
      </c>
    </row>
    <row r="218" spans="1:21" ht="13.2" x14ac:dyDescent="0.25">
      <c r="A218" s="67"/>
      <c r="B218" s="66"/>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B219" s="66"/>
      <c r="C219" s="118" t="s">
        <v>1003</v>
      </c>
      <c r="D219" s="122"/>
      <c r="E219" s="225"/>
      <c r="F219" s="220"/>
      <c r="G219" s="220"/>
      <c r="H219" s="222"/>
      <c r="I219" s="89" t="s">
        <v>29</v>
      </c>
      <c r="J219" s="89"/>
      <c r="K219" s="89"/>
      <c r="L219" s="89"/>
      <c r="M219" s="96"/>
      <c r="N219" s="119"/>
      <c r="O219" s="118" t="s">
        <v>1004</v>
      </c>
      <c r="P219" s="122"/>
      <c r="Q219" s="225" t="s">
        <v>1800</v>
      </c>
      <c r="R219" s="220"/>
      <c r="S219" s="220"/>
      <c r="T219" s="222"/>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27"/>
      <c r="E221" s="227"/>
      <c r="F221" s="227"/>
      <c r="G221" s="227"/>
      <c r="H221" s="228"/>
      <c r="I221" s="66" t="s">
        <v>29</v>
      </c>
      <c r="J221" s="66"/>
      <c r="K221" s="66"/>
      <c r="L221" s="66"/>
      <c r="M221" s="74"/>
      <c r="N221" s="123"/>
      <c r="O221" s="240"/>
      <c r="P221" s="227"/>
      <c r="Q221" s="227"/>
      <c r="R221" s="227"/>
      <c r="S221" s="227"/>
      <c r="T221" s="228"/>
      <c r="U221" s="66" t="s">
        <v>29</v>
      </c>
    </row>
    <row r="222" spans="1:21" ht="13.2" x14ac:dyDescent="0.25">
      <c r="A222" s="67"/>
      <c r="B222" s="66"/>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B223" s="66"/>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B224" s="66"/>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220"/>
      <c r="E229" s="271" t="s">
        <v>896</v>
      </c>
      <c r="F229" s="220"/>
      <c r="G229" s="222"/>
      <c r="H229" s="150" t="s">
        <v>1801</v>
      </c>
      <c r="I229" s="151" t="s">
        <v>29</v>
      </c>
      <c r="J229" s="152"/>
      <c r="K229" s="152"/>
      <c r="L229" s="152"/>
      <c r="M229" s="153"/>
      <c r="N229" s="64"/>
      <c r="O229" s="236" t="s">
        <v>860</v>
      </c>
      <c r="P229" s="220"/>
      <c r="Q229" s="261" t="s">
        <v>897</v>
      </c>
      <c r="R229" s="220"/>
      <c r="S229" s="222"/>
      <c r="T229" s="154" t="s">
        <v>1802</v>
      </c>
      <c r="U229" s="155" t="s">
        <v>29</v>
      </c>
    </row>
    <row r="230" spans="1:21" ht="17.399999999999999" x14ac:dyDescent="0.25">
      <c r="A230" s="67"/>
      <c r="B230" s="156"/>
      <c r="C230" s="265" t="s">
        <v>2</v>
      </c>
      <c r="D230" s="222"/>
      <c r="E230" s="266">
        <v>21</v>
      </c>
      <c r="F230" s="220"/>
      <c r="G230" s="220"/>
      <c r="H230" s="157"/>
      <c r="I230" s="151" t="s">
        <v>29</v>
      </c>
      <c r="J230" s="158"/>
      <c r="K230" s="158"/>
      <c r="L230" s="158"/>
      <c r="M230" s="159"/>
      <c r="N230" s="64"/>
      <c r="O230" s="262" t="s">
        <v>2</v>
      </c>
      <c r="P230" s="222"/>
      <c r="Q230" s="263">
        <v>48</v>
      </c>
      <c r="R230" s="220"/>
      <c r="S230" s="220"/>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B233" s="66"/>
      <c r="C233" s="68" t="s">
        <v>919</v>
      </c>
      <c r="D233" s="161" t="s">
        <v>920</v>
      </c>
      <c r="E233" s="68"/>
      <c r="F233" s="68"/>
      <c r="G233" s="78">
        <v>6</v>
      </c>
      <c r="H233" s="79">
        <v>3</v>
      </c>
      <c r="I233" s="66" t="s">
        <v>29</v>
      </c>
      <c r="J233" s="66"/>
      <c r="K233" s="66"/>
      <c r="L233" s="66"/>
      <c r="M233" s="74"/>
      <c r="N233" s="66"/>
      <c r="O233" s="68" t="s">
        <v>921</v>
      </c>
      <c r="P233" s="161" t="s">
        <v>922</v>
      </c>
      <c r="Q233" s="68"/>
      <c r="R233" s="68"/>
      <c r="S233" s="78">
        <v>3</v>
      </c>
      <c r="T233" s="79">
        <v>6</v>
      </c>
      <c r="U233" s="66" t="s">
        <v>29</v>
      </c>
    </row>
    <row r="234" spans="1:21" ht="13.2" x14ac:dyDescent="0.25">
      <c r="A234" s="67"/>
      <c r="B234" s="66"/>
      <c r="C234" s="68" t="s">
        <v>923</v>
      </c>
      <c r="D234" s="161" t="s">
        <v>924</v>
      </c>
      <c r="E234" s="68"/>
      <c r="F234" s="68"/>
      <c r="G234" s="78">
        <v>0</v>
      </c>
      <c r="H234" s="79">
        <v>9</v>
      </c>
      <c r="I234" s="66" t="s">
        <v>29</v>
      </c>
      <c r="J234" s="66"/>
      <c r="K234" s="66"/>
      <c r="L234" s="66"/>
      <c r="M234" s="74"/>
      <c r="N234" s="66"/>
      <c r="O234" s="68" t="s">
        <v>925</v>
      </c>
      <c r="P234" s="161" t="s">
        <v>926</v>
      </c>
      <c r="Q234" s="68"/>
      <c r="R234" s="68"/>
      <c r="S234" s="78">
        <v>0</v>
      </c>
      <c r="T234" s="79">
        <v>9</v>
      </c>
      <c r="U234" s="66" t="s">
        <v>29</v>
      </c>
    </row>
    <row r="235" spans="1:21" ht="13.2" x14ac:dyDescent="0.25">
      <c r="A235" s="67"/>
      <c r="B235" s="66"/>
      <c r="C235" s="68" t="s">
        <v>927</v>
      </c>
      <c r="D235" s="161" t="s">
        <v>928</v>
      </c>
      <c r="E235" s="68"/>
      <c r="F235" s="68"/>
      <c r="G235" s="78">
        <v>4</v>
      </c>
      <c r="H235" s="79">
        <v>5</v>
      </c>
      <c r="I235" s="66" t="s">
        <v>29</v>
      </c>
      <c r="J235" s="66"/>
      <c r="K235" s="66"/>
      <c r="L235" s="66"/>
      <c r="M235" s="74"/>
      <c r="N235" s="66"/>
      <c r="O235" s="68" t="s">
        <v>929</v>
      </c>
      <c r="P235" s="161" t="s">
        <v>930</v>
      </c>
      <c r="Q235" s="68"/>
      <c r="R235" s="68"/>
      <c r="S235" s="78">
        <v>5</v>
      </c>
      <c r="T235" s="79">
        <v>3</v>
      </c>
      <c r="U235" s="66" t="s">
        <v>29</v>
      </c>
    </row>
    <row r="236" spans="1:21" ht="13.2" x14ac:dyDescent="0.25">
      <c r="A236" s="67"/>
      <c r="B236" s="66"/>
      <c r="C236" s="68" t="s">
        <v>931</v>
      </c>
      <c r="D236" s="161" t="s">
        <v>932</v>
      </c>
      <c r="E236" s="68"/>
      <c r="F236" s="68"/>
      <c r="G236" s="78">
        <v>3</v>
      </c>
      <c r="H236" s="79">
        <v>5</v>
      </c>
      <c r="I236" s="66" t="s">
        <v>29</v>
      </c>
      <c r="J236" s="66"/>
      <c r="K236" s="66"/>
      <c r="L236" s="66"/>
      <c r="M236" s="74"/>
      <c r="N236" s="66"/>
      <c r="O236" s="68" t="s">
        <v>933</v>
      </c>
      <c r="P236" s="161" t="s">
        <v>934</v>
      </c>
      <c r="Q236" s="68"/>
      <c r="R236" s="68"/>
      <c r="S236" s="78">
        <v>0</v>
      </c>
      <c r="T236" s="79">
        <v>8</v>
      </c>
      <c r="U236" s="66" t="s">
        <v>29</v>
      </c>
    </row>
    <row r="237" spans="1:21" ht="13.2" x14ac:dyDescent="0.25">
      <c r="A237" s="67"/>
      <c r="B237" s="66"/>
      <c r="C237" s="80"/>
      <c r="D237" s="162" t="s">
        <v>935</v>
      </c>
      <c r="E237" s="162"/>
      <c r="F237" s="162"/>
      <c r="G237" s="72">
        <v>13</v>
      </c>
      <c r="H237" s="73">
        <v>22</v>
      </c>
      <c r="I237" s="66" t="s">
        <v>29</v>
      </c>
      <c r="J237" s="66"/>
      <c r="K237" s="66"/>
      <c r="L237" s="66"/>
      <c r="M237" s="74"/>
      <c r="N237" s="66"/>
      <c r="O237" s="80"/>
      <c r="P237" s="162" t="s">
        <v>935</v>
      </c>
      <c r="Q237" s="162"/>
      <c r="R237" s="162"/>
      <c r="S237" s="72">
        <v>8</v>
      </c>
      <c r="T237" s="73">
        <v>26</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26.4" x14ac:dyDescent="0.25">
      <c r="A242" s="67" t="s">
        <v>919</v>
      </c>
      <c r="B242" s="84"/>
      <c r="C242" s="92">
        <v>1</v>
      </c>
      <c r="D242" s="93" t="s">
        <v>1803</v>
      </c>
      <c r="E242" s="94" t="s">
        <v>480</v>
      </c>
      <c r="F242" s="92" t="s">
        <v>1801</v>
      </c>
      <c r="G242" s="92">
        <v>5</v>
      </c>
      <c r="H242" s="92" t="s">
        <v>29</v>
      </c>
      <c r="I242" s="115" t="s">
        <v>29</v>
      </c>
      <c r="J242" s="89"/>
      <c r="K242" s="89"/>
      <c r="L242" s="89"/>
      <c r="M242" s="96" t="s">
        <v>921</v>
      </c>
      <c r="N242" s="84"/>
      <c r="O242" s="92">
        <v>1</v>
      </c>
      <c r="P242" s="93" t="s">
        <v>1804</v>
      </c>
      <c r="Q242" s="94" t="s">
        <v>634</v>
      </c>
      <c r="R242" s="92" t="s">
        <v>1802</v>
      </c>
      <c r="S242" s="92" t="s">
        <v>29</v>
      </c>
      <c r="T242" s="92">
        <v>5</v>
      </c>
      <c r="U242" s="115" t="s">
        <v>29</v>
      </c>
    </row>
    <row r="243" spans="1:21" ht="13.2" x14ac:dyDescent="0.25">
      <c r="A243" s="67" t="s">
        <v>919</v>
      </c>
      <c r="B243" s="84"/>
      <c r="C243" s="92">
        <v>2</v>
      </c>
      <c r="D243" s="93" t="s">
        <v>1805</v>
      </c>
      <c r="E243" s="97" t="s">
        <v>83</v>
      </c>
      <c r="F243" s="92" t="s">
        <v>1802</v>
      </c>
      <c r="G243" s="92" t="s">
        <v>29</v>
      </c>
      <c r="H243" s="92">
        <v>3</v>
      </c>
      <c r="I243" s="115" t="s">
        <v>29</v>
      </c>
      <c r="J243" s="89"/>
      <c r="K243" s="89"/>
      <c r="L243" s="89"/>
      <c r="M243" s="96" t="s">
        <v>921</v>
      </c>
      <c r="N243" s="84"/>
      <c r="O243" s="92">
        <v>2</v>
      </c>
      <c r="P243" s="93" t="s">
        <v>1806</v>
      </c>
      <c r="Q243" s="97" t="s">
        <v>482</v>
      </c>
      <c r="R243" s="92" t="s">
        <v>1801</v>
      </c>
      <c r="S243" s="92">
        <v>3</v>
      </c>
      <c r="T243" s="92" t="s">
        <v>29</v>
      </c>
      <c r="U243" s="115" t="s">
        <v>29</v>
      </c>
    </row>
    <row r="244" spans="1:21" ht="13.2" x14ac:dyDescent="0.25">
      <c r="A244" s="67" t="s">
        <v>919</v>
      </c>
      <c r="B244" s="84"/>
      <c r="C244" s="92">
        <v>3</v>
      </c>
      <c r="D244" s="93" t="s">
        <v>1807</v>
      </c>
      <c r="E244" s="97" t="s">
        <v>479</v>
      </c>
      <c r="F244" s="92" t="s">
        <v>1801</v>
      </c>
      <c r="G244" s="92">
        <v>1</v>
      </c>
      <c r="H244" s="92" t="s">
        <v>29</v>
      </c>
      <c r="I244" s="115" t="s">
        <v>29</v>
      </c>
      <c r="J244" s="89"/>
      <c r="K244" s="89"/>
      <c r="L244" s="89"/>
      <c r="M244" s="96" t="s">
        <v>921</v>
      </c>
      <c r="N244" s="84"/>
      <c r="O244" s="92">
        <v>3</v>
      </c>
      <c r="P244" s="93" t="s">
        <v>1808</v>
      </c>
      <c r="Q244" s="97" t="s">
        <v>635</v>
      </c>
      <c r="R244" s="92" t="s">
        <v>1802</v>
      </c>
      <c r="S244" s="92" t="s">
        <v>29</v>
      </c>
      <c r="T244" s="92">
        <v>1</v>
      </c>
      <c r="U244" s="115" t="s">
        <v>29</v>
      </c>
    </row>
    <row r="245" spans="1:21" ht="13.2" x14ac:dyDescent="0.25">
      <c r="A245" s="67" t="s">
        <v>919</v>
      </c>
      <c r="B245" s="84"/>
      <c r="C245" s="92">
        <v>4</v>
      </c>
      <c r="D245" s="93" t="s">
        <v>1809</v>
      </c>
      <c r="E245" s="97" t="s">
        <v>633</v>
      </c>
      <c r="F245" s="92" t="s">
        <v>1802</v>
      </c>
      <c r="G245" s="92" t="s">
        <v>29</v>
      </c>
      <c r="H245" s="92" t="s">
        <v>29</v>
      </c>
      <c r="I245" s="115" t="s">
        <v>29</v>
      </c>
      <c r="J245" s="89"/>
      <c r="K245" s="89"/>
      <c r="L245" s="89"/>
      <c r="M245" s="96" t="s">
        <v>921</v>
      </c>
      <c r="N245" s="84"/>
      <c r="O245" s="92">
        <v>4</v>
      </c>
      <c r="P245" s="93" t="s">
        <v>1810</v>
      </c>
      <c r="Q245" s="97" t="s">
        <v>483</v>
      </c>
      <c r="R245" s="92" t="s">
        <v>1801</v>
      </c>
      <c r="S245" s="92" t="s">
        <v>29</v>
      </c>
      <c r="T245" s="92" t="s">
        <v>29</v>
      </c>
      <c r="U245" s="115" t="s">
        <v>29</v>
      </c>
    </row>
    <row r="246" spans="1:21" ht="13.2" x14ac:dyDescent="0.25">
      <c r="A246" s="67" t="s">
        <v>919</v>
      </c>
      <c r="B246" s="84"/>
      <c r="C246" s="92">
        <v>5</v>
      </c>
      <c r="D246" s="93" t="s">
        <v>1811</v>
      </c>
      <c r="E246" s="97" t="s">
        <v>632</v>
      </c>
      <c r="F246" s="92" t="s">
        <v>1802</v>
      </c>
      <c r="G246" s="92" t="s">
        <v>29</v>
      </c>
      <c r="H246" s="92" t="s">
        <v>29</v>
      </c>
      <c r="I246" s="115" t="s">
        <v>29</v>
      </c>
      <c r="J246" s="89"/>
      <c r="K246" s="89"/>
      <c r="L246" s="89"/>
      <c r="M246" s="96" t="s">
        <v>921</v>
      </c>
      <c r="N246" s="84"/>
      <c r="O246" s="92">
        <v>5</v>
      </c>
      <c r="P246" s="93" t="s">
        <v>1812</v>
      </c>
      <c r="Q246" s="97" t="s">
        <v>248</v>
      </c>
      <c r="R246" s="92" t="s">
        <v>1802</v>
      </c>
      <c r="S246" s="92" t="s">
        <v>29</v>
      </c>
      <c r="T246" s="92" t="s">
        <v>29</v>
      </c>
      <c r="U246" s="115" t="s">
        <v>29</v>
      </c>
    </row>
    <row r="247" spans="1:21" ht="13.2" x14ac:dyDescent="0.25">
      <c r="A247" s="67" t="s">
        <v>919</v>
      </c>
      <c r="B247" s="84"/>
      <c r="C247" s="92">
        <v>6</v>
      </c>
      <c r="D247" s="93" t="s">
        <v>1813</v>
      </c>
      <c r="E247" s="97" t="s">
        <v>478</v>
      </c>
      <c r="F247" s="92" t="s">
        <v>1801</v>
      </c>
      <c r="G247" s="92" t="s">
        <v>29</v>
      </c>
      <c r="H247" s="92" t="s">
        <v>29</v>
      </c>
      <c r="I247" s="115" t="s">
        <v>29</v>
      </c>
      <c r="J247" s="89"/>
      <c r="K247" s="89"/>
      <c r="L247" s="89"/>
      <c r="M247" s="96" t="s">
        <v>921</v>
      </c>
      <c r="N247" s="84"/>
      <c r="O247" s="92">
        <v>6</v>
      </c>
      <c r="P247" s="93" t="s">
        <v>1814</v>
      </c>
      <c r="Q247" s="97" t="s">
        <v>636</v>
      </c>
      <c r="R247" s="92" t="s">
        <v>1802</v>
      </c>
      <c r="S247" s="92" t="s">
        <v>29</v>
      </c>
      <c r="T247" s="92" t="s">
        <v>29</v>
      </c>
      <c r="U247" s="115" t="s">
        <v>29</v>
      </c>
    </row>
    <row r="248" spans="1:21" ht="13.2" x14ac:dyDescent="0.25">
      <c r="A248" s="67" t="s">
        <v>919</v>
      </c>
      <c r="B248" s="84"/>
      <c r="C248" s="92">
        <v>7</v>
      </c>
      <c r="D248" s="93" t="s">
        <v>1815</v>
      </c>
      <c r="E248" s="97" t="s">
        <v>481</v>
      </c>
      <c r="F248" s="92" t="s">
        <v>1801</v>
      </c>
      <c r="G248" s="92" t="s">
        <v>29</v>
      </c>
      <c r="H248" s="92" t="s">
        <v>29</v>
      </c>
      <c r="I248" s="115" t="s">
        <v>29</v>
      </c>
      <c r="J248" s="89"/>
      <c r="K248" s="89"/>
      <c r="L248" s="89"/>
      <c r="M248" s="96" t="s">
        <v>921</v>
      </c>
      <c r="N248" s="84"/>
      <c r="O248" s="92">
        <v>7</v>
      </c>
      <c r="P248" s="93" t="s">
        <v>1816</v>
      </c>
      <c r="Q248" s="97" t="s">
        <v>36</v>
      </c>
      <c r="R248" s="92" t="s">
        <v>1802</v>
      </c>
      <c r="S248" s="92" t="s">
        <v>29</v>
      </c>
      <c r="T248" s="92" t="s">
        <v>29</v>
      </c>
      <c r="U248" s="115" t="s">
        <v>29</v>
      </c>
    </row>
    <row r="249" spans="1:21" ht="13.2" x14ac:dyDescent="0.25">
      <c r="A249" s="67" t="s">
        <v>29</v>
      </c>
      <c r="B249" s="84"/>
      <c r="C249" s="92" t="s">
        <v>29</v>
      </c>
      <c r="D249" s="98" t="s">
        <v>29</v>
      </c>
      <c r="E249" s="97" t="s">
        <v>29</v>
      </c>
      <c r="F249" s="92" t="s">
        <v>29</v>
      </c>
      <c r="G249" s="92" t="s">
        <v>29</v>
      </c>
      <c r="H249" s="92" t="s">
        <v>29</v>
      </c>
      <c r="I249" s="115" t="s">
        <v>29</v>
      </c>
      <c r="J249" s="89"/>
      <c r="K249" s="89"/>
      <c r="L249" s="89"/>
      <c r="M249" s="96" t="s">
        <v>921</v>
      </c>
      <c r="N249" s="84"/>
      <c r="O249" s="92">
        <v>8</v>
      </c>
      <c r="P249" s="93" t="s">
        <v>1817</v>
      </c>
      <c r="Q249" s="97" t="s">
        <v>484</v>
      </c>
      <c r="R249" s="92" t="s">
        <v>1801</v>
      </c>
      <c r="S249" s="92" t="s">
        <v>29</v>
      </c>
      <c r="T249" s="92" t="s">
        <v>29</v>
      </c>
      <c r="U249" s="115" t="s">
        <v>29</v>
      </c>
    </row>
    <row r="250" spans="1:21" ht="13.2" x14ac:dyDescent="0.25">
      <c r="A250" s="67" t="s">
        <v>29</v>
      </c>
      <c r="B250" s="84"/>
      <c r="C250" s="92" t="s">
        <v>29</v>
      </c>
      <c r="D250" s="98" t="s">
        <v>29</v>
      </c>
      <c r="E250" s="97" t="s">
        <v>29</v>
      </c>
      <c r="F250" s="92" t="s">
        <v>29</v>
      </c>
      <c r="G250" s="92" t="s">
        <v>29</v>
      </c>
      <c r="H250" s="92" t="s">
        <v>29</v>
      </c>
      <c r="I250" s="115" t="s">
        <v>29</v>
      </c>
      <c r="J250" s="89"/>
      <c r="K250" s="89"/>
      <c r="L250" s="89"/>
      <c r="M250" s="96" t="s">
        <v>29</v>
      </c>
      <c r="N250" s="84"/>
      <c r="O250" s="92" t="s">
        <v>29</v>
      </c>
      <c r="P250" s="93" t="s">
        <v>29</v>
      </c>
      <c r="Q250" s="97" t="s">
        <v>29</v>
      </c>
      <c r="R250" s="92" t="s">
        <v>29</v>
      </c>
      <c r="S250" s="92" t="s">
        <v>29</v>
      </c>
      <c r="T250" s="92" t="s">
        <v>29</v>
      </c>
      <c r="U250" s="115" t="s">
        <v>29</v>
      </c>
    </row>
    <row r="251" spans="1:21" ht="13.2" x14ac:dyDescent="0.25">
      <c r="A251" s="67" t="s">
        <v>29</v>
      </c>
      <c r="B251" s="84"/>
      <c r="C251" s="92" t="s">
        <v>29</v>
      </c>
      <c r="D251" s="98" t="s">
        <v>29</v>
      </c>
      <c r="E251" s="97" t="s">
        <v>29</v>
      </c>
      <c r="F251" s="92" t="s">
        <v>29</v>
      </c>
      <c r="G251" s="92" t="s">
        <v>29</v>
      </c>
      <c r="H251" s="92" t="s">
        <v>29</v>
      </c>
      <c r="I251" s="115" t="s">
        <v>29</v>
      </c>
      <c r="J251" s="89"/>
      <c r="K251" s="89"/>
      <c r="L251" s="89"/>
      <c r="M251" s="96" t="s">
        <v>29</v>
      </c>
      <c r="N251" s="84"/>
      <c r="O251" s="92" t="s">
        <v>29</v>
      </c>
      <c r="P251" s="93" t="s">
        <v>29</v>
      </c>
      <c r="Q251" s="97" t="s">
        <v>29</v>
      </c>
      <c r="R251" s="92" t="s">
        <v>29</v>
      </c>
      <c r="S251" s="92" t="s">
        <v>29</v>
      </c>
      <c r="T251" s="92" t="s">
        <v>29</v>
      </c>
      <c r="U251" s="115" t="s">
        <v>29</v>
      </c>
    </row>
    <row r="252" spans="1:21" ht="13.2" x14ac:dyDescent="0.25">
      <c r="A252" s="67" t="s">
        <v>29</v>
      </c>
      <c r="B252" s="84"/>
      <c r="C252" s="92" t="s">
        <v>29</v>
      </c>
      <c r="D252" s="98" t="s">
        <v>29</v>
      </c>
      <c r="E252" s="97" t="s">
        <v>29</v>
      </c>
      <c r="F252" s="92" t="s">
        <v>29</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29</v>
      </c>
      <c r="B253" s="84"/>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20"/>
      <c r="E267" s="220"/>
      <c r="F267" s="220"/>
      <c r="G267" s="99">
        <v>6</v>
      </c>
      <c r="H267" s="99">
        <v>3</v>
      </c>
      <c r="I267" s="115" t="s">
        <v>29</v>
      </c>
      <c r="J267" s="89"/>
      <c r="K267" s="89"/>
      <c r="L267" s="89"/>
      <c r="M267" s="96" t="s">
        <v>29</v>
      </c>
      <c r="N267" s="84"/>
      <c r="O267" s="219" t="s">
        <v>955</v>
      </c>
      <c r="P267" s="220"/>
      <c r="Q267" s="220"/>
      <c r="R267" s="220"/>
      <c r="S267" s="99">
        <v>3</v>
      </c>
      <c r="T267" s="99">
        <v>6</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26.4" x14ac:dyDescent="0.25">
      <c r="A271" s="67" t="s">
        <v>923</v>
      </c>
      <c r="B271" s="108"/>
      <c r="C271" s="92">
        <v>1</v>
      </c>
      <c r="D271" s="93" t="s">
        <v>1818</v>
      </c>
      <c r="E271" s="94" t="s">
        <v>639</v>
      </c>
      <c r="F271" s="92" t="s">
        <v>1802</v>
      </c>
      <c r="G271" s="92" t="s">
        <v>29</v>
      </c>
      <c r="H271" s="92">
        <v>5</v>
      </c>
      <c r="I271" s="116" t="s">
        <v>29</v>
      </c>
      <c r="J271" s="89"/>
      <c r="K271" s="89"/>
      <c r="L271" s="89"/>
      <c r="M271" s="96" t="s">
        <v>925</v>
      </c>
      <c r="N271" s="108"/>
      <c r="O271" s="92">
        <v>1</v>
      </c>
      <c r="P271" s="93" t="s">
        <v>1819</v>
      </c>
      <c r="Q271" s="94" t="s">
        <v>641</v>
      </c>
      <c r="R271" s="92" t="s">
        <v>1802</v>
      </c>
      <c r="S271" s="92" t="s">
        <v>29</v>
      </c>
      <c r="T271" s="92">
        <v>5</v>
      </c>
      <c r="U271" s="116" t="s">
        <v>29</v>
      </c>
    </row>
    <row r="272" spans="1:21" ht="13.2" x14ac:dyDescent="0.25">
      <c r="A272" s="67" t="s">
        <v>923</v>
      </c>
      <c r="B272" s="108"/>
      <c r="C272" s="92">
        <v>2</v>
      </c>
      <c r="D272" s="93" t="s">
        <v>1820</v>
      </c>
      <c r="E272" s="97" t="s">
        <v>640</v>
      </c>
      <c r="F272" s="92" t="s">
        <v>1802</v>
      </c>
      <c r="G272" s="92" t="s">
        <v>29</v>
      </c>
      <c r="H272" s="92">
        <v>3</v>
      </c>
      <c r="I272" s="116" t="s">
        <v>29</v>
      </c>
      <c r="J272" s="89"/>
      <c r="K272" s="89"/>
      <c r="L272" s="89"/>
      <c r="M272" s="96" t="s">
        <v>925</v>
      </c>
      <c r="N272" s="108"/>
      <c r="O272" s="92">
        <v>2</v>
      </c>
      <c r="P272" s="93" t="s">
        <v>1821</v>
      </c>
      <c r="Q272" s="97" t="s">
        <v>643</v>
      </c>
      <c r="R272" s="92" t="s">
        <v>1802</v>
      </c>
      <c r="S272" s="92" t="s">
        <v>29</v>
      </c>
      <c r="T272" s="92">
        <v>3</v>
      </c>
      <c r="U272" s="116" t="s">
        <v>29</v>
      </c>
    </row>
    <row r="273" spans="1:21" ht="26.4" x14ac:dyDescent="0.25">
      <c r="A273" s="67" t="s">
        <v>923</v>
      </c>
      <c r="B273" s="108"/>
      <c r="C273" s="92">
        <v>3</v>
      </c>
      <c r="D273" s="93" t="s">
        <v>1822</v>
      </c>
      <c r="E273" s="97" t="s">
        <v>198</v>
      </c>
      <c r="F273" s="92" t="s">
        <v>1802</v>
      </c>
      <c r="G273" s="92" t="s">
        <v>29</v>
      </c>
      <c r="H273" s="92">
        <v>1</v>
      </c>
      <c r="I273" s="116" t="s">
        <v>29</v>
      </c>
      <c r="J273" s="89"/>
      <c r="K273" s="89"/>
      <c r="L273" s="89"/>
      <c r="M273" s="96" t="s">
        <v>925</v>
      </c>
      <c r="N273" s="108"/>
      <c r="O273" s="92">
        <v>3</v>
      </c>
      <c r="P273" s="93" t="s">
        <v>1823</v>
      </c>
      <c r="Q273" s="97" t="s">
        <v>642</v>
      </c>
      <c r="R273" s="92" t="s">
        <v>1802</v>
      </c>
      <c r="S273" s="92" t="s">
        <v>29</v>
      </c>
      <c r="T273" s="92">
        <v>1</v>
      </c>
      <c r="U273" s="116" t="s">
        <v>29</v>
      </c>
    </row>
    <row r="274" spans="1:21" ht="26.4" x14ac:dyDescent="0.25">
      <c r="A274" s="67" t="s">
        <v>923</v>
      </c>
      <c r="B274" s="108"/>
      <c r="C274" s="92">
        <v>4</v>
      </c>
      <c r="D274" s="93" t="s">
        <v>1824</v>
      </c>
      <c r="E274" s="97" t="s">
        <v>638</v>
      </c>
      <c r="F274" s="92" t="s">
        <v>1802</v>
      </c>
      <c r="G274" s="92" t="s">
        <v>29</v>
      </c>
      <c r="H274" s="92" t="s">
        <v>29</v>
      </c>
      <c r="I274" s="116" t="s">
        <v>29</v>
      </c>
      <c r="J274" s="89"/>
      <c r="K274" s="89"/>
      <c r="L274" s="89"/>
      <c r="M274" s="96" t="s">
        <v>925</v>
      </c>
      <c r="N274" s="108"/>
      <c r="O274" s="92">
        <v>4</v>
      </c>
      <c r="P274" s="93" t="s">
        <v>1825</v>
      </c>
      <c r="Q274" s="97" t="s">
        <v>486</v>
      </c>
      <c r="R274" s="92" t="s">
        <v>1801</v>
      </c>
      <c r="S274" s="92" t="s">
        <v>29</v>
      </c>
      <c r="T274" s="92" t="s">
        <v>29</v>
      </c>
      <c r="U274" s="116" t="s">
        <v>29</v>
      </c>
    </row>
    <row r="275" spans="1:21" ht="13.2" x14ac:dyDescent="0.25">
      <c r="A275" s="67" t="s">
        <v>29</v>
      </c>
      <c r="B275" s="108"/>
      <c r="C275" s="92" t="s">
        <v>29</v>
      </c>
      <c r="D275" s="93" t="s">
        <v>29</v>
      </c>
      <c r="E275" s="97" t="s">
        <v>29</v>
      </c>
      <c r="F275" s="92" t="s">
        <v>29</v>
      </c>
      <c r="G275" s="92" t="s">
        <v>29</v>
      </c>
      <c r="H275" s="92" t="s">
        <v>29</v>
      </c>
      <c r="I275" s="116" t="s">
        <v>29</v>
      </c>
      <c r="J275" s="89"/>
      <c r="K275" s="89"/>
      <c r="L275" s="89"/>
      <c r="M275" s="96" t="s">
        <v>29</v>
      </c>
      <c r="N275" s="108"/>
      <c r="O275" s="92" t="s">
        <v>29</v>
      </c>
      <c r="P275" s="93" t="s">
        <v>29</v>
      </c>
      <c r="Q275" s="97" t="s">
        <v>29</v>
      </c>
      <c r="R275" s="92" t="s">
        <v>29</v>
      </c>
      <c r="S275" s="92" t="s">
        <v>29</v>
      </c>
      <c r="T275" s="92" t="s">
        <v>29</v>
      </c>
      <c r="U275" s="116" t="s">
        <v>29</v>
      </c>
    </row>
    <row r="276" spans="1:21" ht="13.2" x14ac:dyDescent="0.25">
      <c r="A276" s="67" t="s">
        <v>29</v>
      </c>
      <c r="B276" s="108"/>
      <c r="C276" s="92" t="s">
        <v>29</v>
      </c>
      <c r="D276" s="93" t="s">
        <v>29</v>
      </c>
      <c r="E276" s="97" t="s">
        <v>29</v>
      </c>
      <c r="F276" s="92" t="s">
        <v>29</v>
      </c>
      <c r="G276" s="92" t="s">
        <v>29</v>
      </c>
      <c r="H276" s="92" t="s">
        <v>29</v>
      </c>
      <c r="I276" s="116" t="s">
        <v>29</v>
      </c>
      <c r="J276" s="89"/>
      <c r="K276" s="89"/>
      <c r="L276" s="89"/>
      <c r="M276" s="96" t="s">
        <v>29</v>
      </c>
      <c r="N276" s="108"/>
      <c r="O276" s="92" t="s">
        <v>29</v>
      </c>
      <c r="P276" s="93" t="s">
        <v>29</v>
      </c>
      <c r="Q276" s="97" t="s">
        <v>29</v>
      </c>
      <c r="R276" s="92" t="s">
        <v>29</v>
      </c>
      <c r="S276" s="92" t="s">
        <v>29</v>
      </c>
      <c r="T276" s="92" t="s">
        <v>29</v>
      </c>
      <c r="U276" s="116" t="s">
        <v>29</v>
      </c>
    </row>
    <row r="277" spans="1:21" ht="13.2" x14ac:dyDescent="0.25">
      <c r="A277" s="67" t="s">
        <v>29</v>
      </c>
      <c r="B277" s="108"/>
      <c r="C277" s="92" t="s">
        <v>29</v>
      </c>
      <c r="D277" s="93" t="s">
        <v>29</v>
      </c>
      <c r="E277" s="97" t="s">
        <v>29</v>
      </c>
      <c r="F277" s="92" t="s">
        <v>29</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20"/>
      <c r="E286" s="220"/>
      <c r="F286" s="222"/>
      <c r="G286" s="99">
        <v>0</v>
      </c>
      <c r="H286" s="99">
        <v>9</v>
      </c>
      <c r="I286" s="116" t="s">
        <v>29</v>
      </c>
      <c r="J286" s="89"/>
      <c r="K286" s="89"/>
      <c r="L286" s="89"/>
      <c r="M286" s="96" t="s">
        <v>29</v>
      </c>
      <c r="N286" s="108"/>
      <c r="O286" s="219" t="s">
        <v>972</v>
      </c>
      <c r="P286" s="220"/>
      <c r="Q286" s="220"/>
      <c r="R286" s="222"/>
      <c r="S286" s="99">
        <v>0</v>
      </c>
      <c r="T286" s="99">
        <v>9</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1826</v>
      </c>
      <c r="E290" s="94" t="s">
        <v>415</v>
      </c>
      <c r="F290" s="92" t="s">
        <v>1802</v>
      </c>
      <c r="G290" s="92" t="s">
        <v>29</v>
      </c>
      <c r="H290" s="92">
        <v>5</v>
      </c>
      <c r="I290" s="115" t="s">
        <v>29</v>
      </c>
      <c r="J290" s="89"/>
      <c r="K290" s="89"/>
      <c r="L290" s="89"/>
      <c r="M290" s="96" t="s">
        <v>929</v>
      </c>
      <c r="N290" s="84"/>
      <c r="O290" s="92">
        <v>1</v>
      </c>
      <c r="P290" s="93" t="s">
        <v>1827</v>
      </c>
      <c r="Q290" s="94" t="s">
        <v>111</v>
      </c>
      <c r="R290" s="92" t="s">
        <v>1801</v>
      </c>
      <c r="S290" s="92">
        <v>5</v>
      </c>
      <c r="T290" s="92" t="s">
        <v>29</v>
      </c>
      <c r="U290" s="115" t="s">
        <v>64</v>
      </c>
    </row>
    <row r="291" spans="1:21" ht="13.2" x14ac:dyDescent="0.25">
      <c r="A291" s="67" t="s">
        <v>927</v>
      </c>
      <c r="B291" s="84"/>
      <c r="C291" s="92">
        <v>2</v>
      </c>
      <c r="D291" s="93" t="s">
        <v>1828</v>
      </c>
      <c r="E291" s="97" t="s">
        <v>238</v>
      </c>
      <c r="F291" s="92" t="s">
        <v>1801</v>
      </c>
      <c r="G291" s="92">
        <v>3</v>
      </c>
      <c r="H291" s="92" t="s">
        <v>29</v>
      </c>
      <c r="I291" s="115" t="s">
        <v>29</v>
      </c>
      <c r="J291" s="89"/>
      <c r="K291" s="89"/>
      <c r="L291" s="89"/>
      <c r="M291" s="96" t="s">
        <v>929</v>
      </c>
      <c r="N291" s="84"/>
      <c r="O291" s="92">
        <v>2</v>
      </c>
      <c r="P291" s="93" t="s">
        <v>1829</v>
      </c>
      <c r="Q291" s="97" t="s">
        <v>637</v>
      </c>
      <c r="R291" s="92" t="s">
        <v>1802</v>
      </c>
      <c r="S291" s="92" t="s">
        <v>29</v>
      </c>
      <c r="T291" s="92">
        <v>3</v>
      </c>
      <c r="U291" s="115" t="s">
        <v>29</v>
      </c>
    </row>
    <row r="292" spans="1:21" ht="13.2" x14ac:dyDescent="0.25">
      <c r="A292" s="67" t="s">
        <v>927</v>
      </c>
      <c r="B292" s="84"/>
      <c r="C292" s="92">
        <v>3</v>
      </c>
      <c r="D292" s="93" t="s">
        <v>1830</v>
      </c>
      <c r="E292" s="97" t="s">
        <v>485</v>
      </c>
      <c r="F292" s="92" t="s">
        <v>1801</v>
      </c>
      <c r="G292" s="92">
        <v>1</v>
      </c>
      <c r="H292" s="92" t="s">
        <v>29</v>
      </c>
      <c r="I292" s="115" t="s">
        <v>29</v>
      </c>
      <c r="J292" s="89"/>
      <c r="K292" s="89"/>
      <c r="L292" s="89"/>
      <c r="M292" s="96" t="s">
        <v>29</v>
      </c>
      <c r="N292" s="84"/>
      <c r="O292" s="92" t="s">
        <v>29</v>
      </c>
      <c r="P292" s="93" t="s">
        <v>29</v>
      </c>
      <c r="Q292" s="97" t="s">
        <v>29</v>
      </c>
      <c r="R292" s="92" t="s">
        <v>29</v>
      </c>
      <c r="S292" s="92" t="s">
        <v>29</v>
      </c>
      <c r="T292" s="92" t="s">
        <v>29</v>
      </c>
      <c r="U292" s="115" t="s">
        <v>29</v>
      </c>
    </row>
    <row r="293" spans="1:21" ht="13.2" x14ac:dyDescent="0.25">
      <c r="A293" s="67" t="s">
        <v>29</v>
      </c>
      <c r="B293" s="84"/>
      <c r="C293" s="92" t="s">
        <v>29</v>
      </c>
      <c r="D293" s="93" t="s">
        <v>29</v>
      </c>
      <c r="E293" s="97" t="s">
        <v>29</v>
      </c>
      <c r="F293" s="92" t="s">
        <v>29</v>
      </c>
      <c r="G293" s="92" t="s">
        <v>29</v>
      </c>
      <c r="H293" s="92" t="s">
        <v>29</v>
      </c>
      <c r="I293" s="115" t="s">
        <v>29</v>
      </c>
      <c r="J293" s="89"/>
      <c r="K293" s="89"/>
      <c r="L293" s="89"/>
      <c r="M293" s="96" t="s">
        <v>29</v>
      </c>
      <c r="N293" s="84"/>
      <c r="O293" s="92" t="s">
        <v>29</v>
      </c>
      <c r="P293" s="93" t="s">
        <v>29</v>
      </c>
      <c r="Q293" s="97" t="s">
        <v>29</v>
      </c>
      <c r="R293" s="92" t="s">
        <v>29</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29</v>
      </c>
      <c r="N294" s="84"/>
      <c r="O294" s="92" t="s">
        <v>29</v>
      </c>
      <c r="P294" s="93" t="s">
        <v>29</v>
      </c>
      <c r="Q294" s="97" t="s">
        <v>29</v>
      </c>
      <c r="R294" s="92" t="s">
        <v>29</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20"/>
      <c r="E305" s="220"/>
      <c r="F305" s="220"/>
      <c r="G305" s="99">
        <v>4</v>
      </c>
      <c r="H305" s="99">
        <v>5</v>
      </c>
      <c r="I305" s="115" t="s">
        <v>29</v>
      </c>
      <c r="J305" s="89"/>
      <c r="K305" s="89"/>
      <c r="L305" s="89"/>
      <c r="M305" s="96" t="s">
        <v>29</v>
      </c>
      <c r="N305" s="84"/>
      <c r="O305" s="219" t="s">
        <v>985</v>
      </c>
      <c r="P305" s="220"/>
      <c r="Q305" s="220"/>
      <c r="R305" s="220"/>
      <c r="S305" s="99">
        <v>5</v>
      </c>
      <c r="T305" s="99">
        <v>3</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1831</v>
      </c>
      <c r="E309" s="94" t="s">
        <v>644</v>
      </c>
      <c r="F309" s="92" t="s">
        <v>1802</v>
      </c>
      <c r="G309" s="92" t="s">
        <v>29</v>
      </c>
      <c r="H309" s="92">
        <v>5</v>
      </c>
      <c r="I309" s="116" t="s">
        <v>29</v>
      </c>
      <c r="J309" s="89"/>
      <c r="K309" s="89"/>
      <c r="L309" s="89"/>
      <c r="M309" s="96" t="s">
        <v>933</v>
      </c>
      <c r="N309" s="108"/>
      <c r="O309" s="92">
        <v>1</v>
      </c>
      <c r="P309" s="93" t="s">
        <v>1832</v>
      </c>
      <c r="Q309" s="94" t="s">
        <v>645</v>
      </c>
      <c r="R309" s="92" t="s">
        <v>1802</v>
      </c>
      <c r="S309" s="92" t="s">
        <v>29</v>
      </c>
      <c r="T309" s="92">
        <v>5</v>
      </c>
      <c r="U309" s="116" t="s">
        <v>29</v>
      </c>
    </row>
    <row r="310" spans="1:21" ht="13.2" x14ac:dyDescent="0.25">
      <c r="A310" s="67" t="s">
        <v>931</v>
      </c>
      <c r="B310" s="108"/>
      <c r="C310" s="92">
        <v>2</v>
      </c>
      <c r="D310" s="93" t="s">
        <v>1833</v>
      </c>
      <c r="E310" s="97" t="s">
        <v>487</v>
      </c>
      <c r="F310" s="92" t="s">
        <v>1801</v>
      </c>
      <c r="G310" s="92">
        <v>3</v>
      </c>
      <c r="H310" s="92" t="s">
        <v>29</v>
      </c>
      <c r="I310" s="116" t="s">
        <v>29</v>
      </c>
      <c r="J310" s="89"/>
      <c r="K310" s="89"/>
      <c r="L310" s="89"/>
      <c r="M310" s="96" t="s">
        <v>933</v>
      </c>
      <c r="N310" s="108"/>
      <c r="O310" s="92">
        <v>2</v>
      </c>
      <c r="P310" s="93" t="s">
        <v>1834</v>
      </c>
      <c r="Q310" s="97" t="s">
        <v>646</v>
      </c>
      <c r="R310" s="92" t="s">
        <v>1802</v>
      </c>
      <c r="S310" s="92" t="s">
        <v>29</v>
      </c>
      <c r="T310" s="92">
        <v>3</v>
      </c>
      <c r="U310" s="116" t="s">
        <v>29</v>
      </c>
    </row>
    <row r="311" spans="1:21" ht="13.2" x14ac:dyDescent="0.25">
      <c r="A311" s="67" t="s">
        <v>29</v>
      </c>
      <c r="B311" s="108"/>
      <c r="C311" s="92" t="s">
        <v>29</v>
      </c>
      <c r="D311" s="93" t="s">
        <v>29</v>
      </c>
      <c r="E311" s="97" t="s">
        <v>29</v>
      </c>
      <c r="F311" s="92" t="s">
        <v>29</v>
      </c>
      <c r="G311" s="92" t="s">
        <v>29</v>
      </c>
      <c r="H311" s="92" t="s">
        <v>29</v>
      </c>
      <c r="I311" s="116" t="s">
        <v>29</v>
      </c>
      <c r="J311" s="89"/>
      <c r="K311" s="89"/>
      <c r="L311" s="89"/>
      <c r="M311" s="96" t="s">
        <v>29</v>
      </c>
      <c r="N311" s="108"/>
      <c r="O311" s="92" t="s">
        <v>29</v>
      </c>
      <c r="P311" s="93" t="s">
        <v>29</v>
      </c>
      <c r="Q311" s="97" t="s">
        <v>29</v>
      </c>
      <c r="R311" s="92" t="s">
        <v>29</v>
      </c>
      <c r="S311" s="92" t="s">
        <v>29</v>
      </c>
      <c r="T311" s="92" t="s">
        <v>29</v>
      </c>
      <c r="U311" s="116" t="s">
        <v>29</v>
      </c>
    </row>
    <row r="312" spans="1:21" ht="13.2" x14ac:dyDescent="0.25">
      <c r="A312" s="67" t="s">
        <v>29</v>
      </c>
      <c r="B312" s="108"/>
      <c r="C312" s="92" t="s">
        <v>29</v>
      </c>
      <c r="D312" s="93" t="s">
        <v>29</v>
      </c>
      <c r="E312" s="97" t="s">
        <v>29</v>
      </c>
      <c r="F312" s="92" t="s">
        <v>29</v>
      </c>
      <c r="G312" s="92" t="s">
        <v>29</v>
      </c>
      <c r="H312" s="92" t="s">
        <v>29</v>
      </c>
      <c r="I312" s="116" t="s">
        <v>29</v>
      </c>
      <c r="J312" s="89"/>
      <c r="K312" s="89"/>
      <c r="L312" s="89"/>
      <c r="M312" s="96" t="s">
        <v>29</v>
      </c>
      <c r="N312" s="108"/>
      <c r="O312" s="92" t="s">
        <v>29</v>
      </c>
      <c r="P312" s="93" t="s">
        <v>29</v>
      </c>
      <c r="Q312" s="97" t="s">
        <v>29</v>
      </c>
      <c r="R312" s="92" t="s">
        <v>29</v>
      </c>
      <c r="S312" s="92" t="s">
        <v>29</v>
      </c>
      <c r="T312" s="92" t="s">
        <v>29</v>
      </c>
      <c r="U312" s="116" t="s">
        <v>29</v>
      </c>
    </row>
    <row r="313" spans="1:21" ht="13.2" x14ac:dyDescent="0.25">
      <c r="A313" s="67" t="s">
        <v>29</v>
      </c>
      <c r="B313" s="108"/>
      <c r="C313" s="92" t="s">
        <v>29</v>
      </c>
      <c r="D313" s="93" t="s">
        <v>29</v>
      </c>
      <c r="E313" s="97" t="s">
        <v>29</v>
      </c>
      <c r="F313" s="92" t="s">
        <v>29</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29</v>
      </c>
      <c r="B314" s="108"/>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20"/>
      <c r="E324" s="220"/>
      <c r="F324" s="220"/>
      <c r="G324" s="99">
        <v>3</v>
      </c>
      <c r="H324" s="99">
        <v>5</v>
      </c>
      <c r="I324" s="116" t="s">
        <v>29</v>
      </c>
      <c r="J324" s="89"/>
      <c r="K324" s="89"/>
      <c r="L324" s="89"/>
      <c r="M324" s="96" t="s">
        <v>29</v>
      </c>
      <c r="N324" s="108"/>
      <c r="O324" s="219" t="s">
        <v>996</v>
      </c>
      <c r="P324" s="220"/>
      <c r="Q324" s="220"/>
      <c r="R324" s="220"/>
      <c r="S324" s="99">
        <v>0</v>
      </c>
      <c r="T324" s="99">
        <v>8</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1835</v>
      </c>
      <c r="R326" s="220"/>
      <c r="S326" s="220"/>
      <c r="T326" s="222"/>
      <c r="U326" s="66" t="s">
        <v>29</v>
      </c>
    </row>
    <row r="327" spans="1:21" ht="13.2" x14ac:dyDescent="0.25">
      <c r="A327" s="67"/>
      <c r="B327" s="66"/>
      <c r="C327" s="245" t="s">
        <v>1836</v>
      </c>
      <c r="D327" s="227"/>
      <c r="E327" s="227"/>
      <c r="F327" s="227"/>
      <c r="G327" s="227"/>
      <c r="H327" s="228"/>
      <c r="I327" s="89" t="s">
        <v>29</v>
      </c>
      <c r="J327" s="89"/>
      <c r="K327" s="89"/>
      <c r="L327" s="89"/>
      <c r="M327" s="96"/>
      <c r="N327" s="119"/>
      <c r="O327" s="120" t="s">
        <v>1001</v>
      </c>
      <c r="P327" s="121"/>
      <c r="Q327" s="221" t="s">
        <v>1837</v>
      </c>
      <c r="R327" s="220"/>
      <c r="S327" s="220"/>
      <c r="T327" s="222"/>
      <c r="U327" s="66" t="s">
        <v>29</v>
      </c>
    </row>
    <row r="328" spans="1:21" ht="13.2" x14ac:dyDescent="0.25">
      <c r="A328" s="67"/>
      <c r="B328" s="66"/>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B329" s="66"/>
      <c r="C329" s="118" t="s">
        <v>1003</v>
      </c>
      <c r="D329" s="122"/>
      <c r="E329" s="225" t="s">
        <v>1837</v>
      </c>
      <c r="F329" s="220"/>
      <c r="G329" s="220"/>
      <c r="H329" s="222"/>
      <c r="I329" s="89" t="s">
        <v>29</v>
      </c>
      <c r="J329" s="89"/>
      <c r="K329" s="89"/>
      <c r="L329" s="89"/>
      <c r="M329" s="96"/>
      <c r="N329" s="119"/>
      <c r="O329" s="118" t="s">
        <v>1004</v>
      </c>
      <c r="P329" s="122"/>
      <c r="Q329" s="225" t="s">
        <v>1838</v>
      </c>
      <c r="R329" s="220"/>
      <c r="S329" s="220"/>
      <c r="T329" s="222"/>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42"/>
      <c r="D331" s="227"/>
      <c r="E331" s="227"/>
      <c r="F331" s="227"/>
      <c r="G331" s="227"/>
      <c r="H331" s="228"/>
      <c r="I331" s="66" t="s">
        <v>29</v>
      </c>
      <c r="J331" s="66"/>
      <c r="K331" s="66"/>
      <c r="L331" s="66"/>
      <c r="M331" s="74"/>
      <c r="N331" s="123"/>
      <c r="O331" s="240"/>
      <c r="P331" s="227"/>
      <c r="Q331" s="227"/>
      <c r="R331" s="227"/>
      <c r="S331" s="227"/>
      <c r="T331" s="228"/>
      <c r="U331" s="66" t="s">
        <v>29</v>
      </c>
    </row>
    <row r="332" spans="1:21" ht="13.2" x14ac:dyDescent="0.25">
      <c r="B332" s="66"/>
      <c r="C332" s="229"/>
      <c r="D332" s="224"/>
      <c r="E332" s="224"/>
      <c r="F332" s="224"/>
      <c r="G332" s="224"/>
      <c r="H332" s="230"/>
      <c r="I332" s="66" t="s">
        <v>29</v>
      </c>
      <c r="J332" s="66"/>
      <c r="K332" s="66"/>
      <c r="L332" s="66"/>
      <c r="M332" s="74"/>
      <c r="N332" s="123"/>
      <c r="O332" s="229"/>
      <c r="P332" s="224"/>
      <c r="Q332" s="224"/>
      <c r="R332" s="224"/>
      <c r="S332" s="224"/>
      <c r="T332" s="230"/>
      <c r="U332" s="66" t="s">
        <v>29</v>
      </c>
    </row>
    <row r="333" spans="1:21" ht="13.2" x14ac:dyDescent="0.25">
      <c r="B333" s="66"/>
      <c r="C333" s="229"/>
      <c r="D333" s="224"/>
      <c r="E333" s="224"/>
      <c r="F333" s="224"/>
      <c r="G333" s="224"/>
      <c r="H333" s="230"/>
      <c r="I333" s="66" t="s">
        <v>29</v>
      </c>
      <c r="J333" s="66"/>
      <c r="K333" s="66"/>
      <c r="L333" s="66"/>
      <c r="M333" s="74"/>
      <c r="N333" s="123"/>
      <c r="O333" s="229"/>
      <c r="P333" s="224"/>
      <c r="Q333" s="224"/>
      <c r="R333" s="224"/>
      <c r="S333" s="224"/>
      <c r="T333" s="230"/>
      <c r="U333" s="66" t="s">
        <v>29</v>
      </c>
    </row>
    <row r="334" spans="1:21" ht="13.2" x14ac:dyDescent="0.25">
      <c r="B334" s="66"/>
      <c r="C334" s="231"/>
      <c r="D334" s="232"/>
      <c r="E334" s="232"/>
      <c r="F334" s="232"/>
      <c r="G334" s="232"/>
      <c r="H334" s="233"/>
      <c r="I334" s="66" t="s">
        <v>29</v>
      </c>
      <c r="J334" s="66"/>
      <c r="K334" s="66"/>
      <c r="L334" s="66"/>
      <c r="M334" s="74"/>
      <c r="N334" s="123"/>
      <c r="O334" s="231"/>
      <c r="P334" s="232"/>
      <c r="Q334" s="232"/>
      <c r="R334" s="232"/>
      <c r="S334" s="232"/>
      <c r="T334" s="233"/>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8" priority="1" operator="equal">
      <formula>0</formula>
    </cfRule>
  </conditionalFormatting>
  <hyperlinks>
    <hyperlink ref="B3" location="null!a6" display="1" xr:uid="{00000000-0004-0000-0700-000000000000}"/>
    <hyperlink ref="D3" location="null!a6" display="MHC-Mansion House" xr:uid="{00000000-0004-0000-0700-000001000000}"/>
    <hyperlink ref="P3" location="null!a6" display="SHB-Sleepy Hollow Bath" xr:uid="{00000000-0004-0000-0700-000002000000}"/>
    <hyperlink ref="B4" location="null!a116" display="2" xr:uid="{00000000-0004-0000-0700-000003000000}"/>
    <hyperlink ref="D4" location="null!a116" display="WC-Wakefield Chapel" xr:uid="{00000000-0004-0000-0700-000004000000}"/>
    <hyperlink ref="P4" location="null!a116" display="T-Tuckahoe" xr:uid="{00000000-0004-0000-0700-000005000000}"/>
    <hyperlink ref="B5" location="null!a226" display="3" xr:uid="{00000000-0004-0000-0700-000006000000}"/>
    <hyperlink ref="D5" location="null!a226" display="M-Mantua" xr:uid="{00000000-0004-0000-0700-000007000000}"/>
    <hyperlink ref="P5" location="null!a226" display="PL-Parklawn" xr:uid="{00000000-0004-0000-0700-000008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20"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4.799999999999997" customHeight="1" x14ac:dyDescent="0.45">
      <c r="A1" s="42" t="s">
        <v>29</v>
      </c>
      <c r="B1" s="43"/>
      <c r="C1" s="6"/>
      <c r="D1" s="44">
        <v>45461</v>
      </c>
      <c r="E1" s="8"/>
      <c r="F1" s="45" t="s">
        <v>911</v>
      </c>
      <c r="G1" s="9"/>
      <c r="H1" s="8"/>
      <c r="I1" s="10"/>
      <c r="J1" s="10"/>
      <c r="K1" s="10"/>
      <c r="L1" s="10"/>
      <c r="M1" s="10"/>
      <c r="N1" s="10"/>
      <c r="O1" s="10"/>
      <c r="P1" s="10"/>
      <c r="Q1" s="46" t="s">
        <v>1</v>
      </c>
      <c r="R1" s="246">
        <v>7</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72" t="s">
        <v>898</v>
      </c>
      <c r="E3" s="222"/>
      <c r="F3" s="251">
        <v>25</v>
      </c>
      <c r="G3" s="220"/>
      <c r="H3" s="222"/>
      <c r="I3" s="48">
        <v>0</v>
      </c>
      <c r="J3" s="8"/>
      <c r="K3" s="49">
        <v>14</v>
      </c>
      <c r="L3" s="50" t="s">
        <v>11</v>
      </c>
      <c r="M3" s="8"/>
      <c r="N3" s="51">
        <v>25</v>
      </c>
      <c r="O3" s="8"/>
      <c r="P3" s="273" t="s">
        <v>899</v>
      </c>
      <c r="Q3" s="220"/>
      <c r="R3" s="253">
        <v>47</v>
      </c>
      <c r="S3" s="220"/>
      <c r="T3" s="222"/>
      <c r="U3" s="48">
        <v>0</v>
      </c>
    </row>
    <row r="4" spans="1:21" ht="15.6" x14ac:dyDescent="0.3">
      <c r="A4" s="47">
        <v>2</v>
      </c>
      <c r="B4" s="27">
        <v>2</v>
      </c>
      <c r="C4" s="52"/>
      <c r="D4" s="272" t="s">
        <v>900</v>
      </c>
      <c r="E4" s="222"/>
      <c r="F4" s="251">
        <v>25</v>
      </c>
      <c r="G4" s="220"/>
      <c r="H4" s="220"/>
      <c r="I4" s="48">
        <v>0</v>
      </c>
      <c r="J4" s="31"/>
      <c r="K4" s="49">
        <v>12</v>
      </c>
      <c r="L4" s="50" t="s">
        <v>11</v>
      </c>
      <c r="M4" s="31"/>
      <c r="N4" s="51">
        <v>17</v>
      </c>
      <c r="O4" s="53"/>
      <c r="P4" s="273" t="s">
        <v>901</v>
      </c>
      <c r="Q4" s="220"/>
      <c r="R4" s="253">
        <v>37</v>
      </c>
      <c r="S4" s="220"/>
      <c r="T4" s="220"/>
      <c r="U4" s="48">
        <v>0</v>
      </c>
    </row>
    <row r="5" spans="1:21" ht="15.6" x14ac:dyDescent="0.3">
      <c r="A5" s="47">
        <v>3</v>
      </c>
      <c r="B5" s="27">
        <v>3</v>
      </c>
      <c r="C5" s="52"/>
      <c r="D5" s="275" t="s">
        <v>902</v>
      </c>
      <c r="E5" s="228"/>
      <c r="F5" s="251">
        <v>36</v>
      </c>
      <c r="G5" s="220"/>
      <c r="H5" s="222"/>
      <c r="I5" s="48">
        <v>0</v>
      </c>
      <c r="J5" s="31"/>
      <c r="K5" s="49">
        <v>26</v>
      </c>
      <c r="L5" s="50" t="s">
        <v>11</v>
      </c>
      <c r="M5" s="31"/>
      <c r="N5" s="51">
        <v>18</v>
      </c>
      <c r="O5" s="53"/>
      <c r="P5" s="274" t="s">
        <v>903</v>
      </c>
      <c r="Q5" s="227"/>
      <c r="R5" s="255">
        <v>35</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257" t="s">
        <v>859</v>
      </c>
      <c r="D9" s="220"/>
      <c r="E9" s="267" t="s">
        <v>898</v>
      </c>
      <c r="F9" s="220"/>
      <c r="G9" s="222"/>
      <c r="H9" s="140" t="s">
        <v>1839</v>
      </c>
      <c r="I9" s="141"/>
      <c r="J9" s="63"/>
      <c r="K9" s="63"/>
      <c r="L9" s="63"/>
      <c r="M9" s="63"/>
      <c r="N9" s="142"/>
      <c r="O9" s="236" t="s">
        <v>860</v>
      </c>
      <c r="P9" s="220"/>
      <c r="Q9" s="269" t="s">
        <v>899</v>
      </c>
      <c r="R9" s="220"/>
      <c r="S9" s="222"/>
      <c r="T9" s="143" t="s">
        <v>1840</v>
      </c>
      <c r="U9" s="144"/>
    </row>
    <row r="10" spans="1:21" ht="17.399999999999999" x14ac:dyDescent="0.3">
      <c r="B10" s="145"/>
      <c r="C10" s="243" t="s">
        <v>2</v>
      </c>
      <c r="D10" s="222"/>
      <c r="E10" s="268">
        <v>25</v>
      </c>
      <c r="F10" s="220"/>
      <c r="G10" s="220"/>
      <c r="H10" s="146"/>
      <c r="I10" s="141"/>
      <c r="J10" s="62"/>
      <c r="K10" s="62"/>
      <c r="L10" s="62"/>
      <c r="M10" s="62"/>
      <c r="N10" s="142"/>
      <c r="O10" s="238" t="s">
        <v>2</v>
      </c>
      <c r="P10" s="222"/>
      <c r="Q10" s="270">
        <v>47</v>
      </c>
      <c r="R10" s="220"/>
      <c r="S10" s="220"/>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0</v>
      </c>
      <c r="H13" s="79">
        <v>9</v>
      </c>
      <c r="I13" s="66"/>
      <c r="J13" s="66"/>
      <c r="K13" s="66"/>
      <c r="L13" s="66"/>
      <c r="M13" s="74"/>
      <c r="N13" s="66"/>
      <c r="O13" s="68" t="s">
        <v>921</v>
      </c>
      <c r="P13" s="75" t="s">
        <v>922</v>
      </c>
      <c r="Q13" s="76"/>
      <c r="R13" s="77"/>
      <c r="S13" s="78">
        <v>8</v>
      </c>
      <c r="T13" s="79">
        <v>1</v>
      </c>
      <c r="U13" s="66"/>
    </row>
    <row r="14" spans="1:21" ht="15.75" customHeight="1" x14ac:dyDescent="0.25">
      <c r="A14" s="67"/>
      <c r="B14" s="66"/>
      <c r="C14" s="68" t="s">
        <v>923</v>
      </c>
      <c r="D14" s="75" t="s">
        <v>924</v>
      </c>
      <c r="E14" s="76"/>
      <c r="F14" s="77"/>
      <c r="G14" s="78">
        <v>5</v>
      </c>
      <c r="H14" s="79">
        <v>4</v>
      </c>
      <c r="I14" s="66"/>
      <c r="J14" s="66"/>
      <c r="K14" s="66"/>
      <c r="L14" s="66"/>
      <c r="M14" s="74"/>
      <c r="N14" s="66"/>
      <c r="O14" s="68" t="s">
        <v>925</v>
      </c>
      <c r="P14" s="75" t="s">
        <v>926</v>
      </c>
      <c r="Q14" s="76"/>
      <c r="R14" s="77"/>
      <c r="S14" s="78">
        <v>0</v>
      </c>
      <c r="T14" s="79">
        <v>9</v>
      </c>
      <c r="U14" s="66"/>
    </row>
    <row r="15" spans="1:21" ht="15.75" customHeight="1" x14ac:dyDescent="0.25">
      <c r="A15" s="67"/>
      <c r="B15" s="66"/>
      <c r="C15" s="68" t="s">
        <v>927</v>
      </c>
      <c r="D15" s="75" t="s">
        <v>928</v>
      </c>
      <c r="E15" s="76"/>
      <c r="F15" s="77"/>
      <c r="G15" s="78">
        <v>8</v>
      </c>
      <c r="H15" s="79">
        <v>1</v>
      </c>
      <c r="I15" s="66"/>
      <c r="J15" s="66"/>
      <c r="K15" s="66"/>
      <c r="L15" s="66"/>
      <c r="M15" s="74"/>
      <c r="N15" s="66"/>
      <c r="O15" s="68" t="s">
        <v>929</v>
      </c>
      <c r="P15" s="75" t="s">
        <v>930</v>
      </c>
      <c r="Q15" s="76"/>
      <c r="R15" s="77"/>
      <c r="S15" s="78">
        <v>0</v>
      </c>
      <c r="T15" s="79">
        <v>9</v>
      </c>
      <c r="U15" s="66"/>
    </row>
    <row r="16" spans="1:21" ht="15.75" customHeight="1" x14ac:dyDescent="0.25">
      <c r="A16" s="67"/>
      <c r="B16" s="66"/>
      <c r="C16" s="68" t="s">
        <v>931</v>
      </c>
      <c r="D16" s="75" t="s">
        <v>932</v>
      </c>
      <c r="E16" s="76"/>
      <c r="F16" s="77"/>
      <c r="G16" s="78">
        <v>1</v>
      </c>
      <c r="H16" s="79">
        <v>8</v>
      </c>
      <c r="I16" s="66"/>
      <c r="J16" s="66"/>
      <c r="K16" s="66"/>
      <c r="L16" s="66"/>
      <c r="M16" s="74"/>
      <c r="N16" s="66"/>
      <c r="O16" s="68" t="s">
        <v>933</v>
      </c>
      <c r="P16" s="75" t="s">
        <v>934</v>
      </c>
      <c r="Q16" s="76"/>
      <c r="R16" s="77"/>
      <c r="S16" s="78">
        <v>3</v>
      </c>
      <c r="T16" s="79">
        <v>6</v>
      </c>
      <c r="U16" s="66"/>
    </row>
    <row r="17" spans="1:21" ht="15.75" customHeight="1" x14ac:dyDescent="0.25">
      <c r="A17" s="67"/>
      <c r="B17" s="66"/>
      <c r="C17" s="80"/>
      <c r="D17" s="81" t="s">
        <v>935</v>
      </c>
      <c r="E17" s="82"/>
      <c r="F17" s="83"/>
      <c r="G17" s="72">
        <v>14</v>
      </c>
      <c r="H17" s="73">
        <v>22</v>
      </c>
      <c r="I17" s="66"/>
      <c r="J17" s="66"/>
      <c r="K17" s="66"/>
      <c r="L17" s="66"/>
      <c r="M17" s="74"/>
      <c r="N17" s="66"/>
      <c r="O17" s="80"/>
      <c r="P17" s="81" t="s">
        <v>935</v>
      </c>
      <c r="Q17" s="82"/>
      <c r="R17" s="83"/>
      <c r="S17" s="72">
        <v>11</v>
      </c>
      <c r="T17" s="73">
        <v>25</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1841</v>
      </c>
      <c r="E22" s="94" t="s">
        <v>52</v>
      </c>
      <c r="F22" s="92" t="s">
        <v>1840</v>
      </c>
      <c r="G22" s="92" t="s">
        <v>29</v>
      </c>
      <c r="H22" s="92">
        <v>5</v>
      </c>
      <c r="I22" s="115" t="s">
        <v>29</v>
      </c>
      <c r="J22" s="89"/>
      <c r="K22" s="89"/>
      <c r="L22" s="89"/>
      <c r="M22" s="96" t="s">
        <v>921</v>
      </c>
      <c r="N22" s="84"/>
      <c r="O22" s="92">
        <v>1</v>
      </c>
      <c r="P22" s="93" t="s">
        <v>1842</v>
      </c>
      <c r="Q22" s="94" t="s">
        <v>164</v>
      </c>
      <c r="R22" s="92" t="s">
        <v>1839</v>
      </c>
      <c r="S22" s="92">
        <v>5</v>
      </c>
      <c r="T22" s="92" t="s">
        <v>29</v>
      </c>
      <c r="U22" s="115" t="s">
        <v>29</v>
      </c>
    </row>
    <row r="23" spans="1:21" ht="15.75" customHeight="1" x14ac:dyDescent="0.25">
      <c r="A23" s="67" t="s">
        <v>919</v>
      </c>
      <c r="B23" s="84"/>
      <c r="C23" s="92">
        <v>2</v>
      </c>
      <c r="D23" s="93" t="s">
        <v>1843</v>
      </c>
      <c r="E23" s="97" t="s">
        <v>54</v>
      </c>
      <c r="F23" s="92" t="s">
        <v>1840</v>
      </c>
      <c r="G23" s="92" t="s">
        <v>29</v>
      </c>
      <c r="H23" s="92">
        <v>3</v>
      </c>
      <c r="I23" s="115" t="s">
        <v>29</v>
      </c>
      <c r="J23" s="89"/>
      <c r="K23" s="89"/>
      <c r="L23" s="89"/>
      <c r="M23" s="96" t="s">
        <v>921</v>
      </c>
      <c r="N23" s="84"/>
      <c r="O23" s="92">
        <v>2</v>
      </c>
      <c r="P23" s="93" t="s">
        <v>1844</v>
      </c>
      <c r="Q23" s="97" t="s">
        <v>665</v>
      </c>
      <c r="R23" s="92" t="s">
        <v>1839</v>
      </c>
      <c r="S23" s="92">
        <v>3</v>
      </c>
      <c r="T23" s="92" t="s">
        <v>29</v>
      </c>
      <c r="U23" s="115" t="s">
        <v>29</v>
      </c>
    </row>
    <row r="24" spans="1:21" ht="15.75" customHeight="1" x14ac:dyDescent="0.25">
      <c r="A24" s="67" t="s">
        <v>919</v>
      </c>
      <c r="B24" s="84"/>
      <c r="C24" s="92">
        <v>3</v>
      </c>
      <c r="D24" s="93" t="s">
        <v>1845</v>
      </c>
      <c r="E24" s="97" t="s">
        <v>53</v>
      </c>
      <c r="F24" s="92" t="s">
        <v>1840</v>
      </c>
      <c r="G24" s="92" t="s">
        <v>29</v>
      </c>
      <c r="H24" s="92">
        <v>1</v>
      </c>
      <c r="I24" s="115" t="s">
        <v>29</v>
      </c>
      <c r="J24" s="89"/>
      <c r="K24" s="89"/>
      <c r="L24" s="89"/>
      <c r="M24" s="96" t="s">
        <v>921</v>
      </c>
      <c r="N24" s="84"/>
      <c r="O24" s="92">
        <v>3</v>
      </c>
      <c r="P24" s="93" t="s">
        <v>1846</v>
      </c>
      <c r="Q24" s="97" t="s">
        <v>55</v>
      </c>
      <c r="R24" s="92" t="s">
        <v>1840</v>
      </c>
      <c r="S24" s="92" t="s">
        <v>29</v>
      </c>
      <c r="T24" s="92">
        <v>1</v>
      </c>
      <c r="U24" s="115" t="s">
        <v>29</v>
      </c>
    </row>
    <row r="25" spans="1:21" ht="15.75" customHeight="1" x14ac:dyDescent="0.25">
      <c r="A25" s="67" t="s">
        <v>919</v>
      </c>
      <c r="B25" s="84"/>
      <c r="C25" s="92">
        <v>4</v>
      </c>
      <c r="D25" s="93" t="s">
        <v>1847</v>
      </c>
      <c r="E25" s="97" t="s">
        <v>51</v>
      </c>
      <c r="F25" s="92" t="s">
        <v>1840</v>
      </c>
      <c r="G25" s="92" t="s">
        <v>29</v>
      </c>
      <c r="H25" s="92" t="s">
        <v>29</v>
      </c>
      <c r="I25" s="115" t="s">
        <v>29</v>
      </c>
      <c r="J25" s="89"/>
      <c r="K25" s="89"/>
      <c r="L25" s="89"/>
      <c r="M25" s="96" t="s">
        <v>921</v>
      </c>
      <c r="N25" s="84"/>
      <c r="O25" s="92">
        <v>4</v>
      </c>
      <c r="P25" s="93" t="s">
        <v>1848</v>
      </c>
      <c r="Q25" s="97" t="s">
        <v>666</v>
      </c>
      <c r="R25" s="92" t="s">
        <v>1839</v>
      </c>
      <c r="S25" s="92" t="s">
        <v>29</v>
      </c>
      <c r="T25" s="92" t="s">
        <v>29</v>
      </c>
      <c r="U25" s="115" t="s">
        <v>29</v>
      </c>
    </row>
    <row r="26" spans="1:21" ht="15.75" customHeight="1" x14ac:dyDescent="0.25">
      <c r="A26" s="67" t="s">
        <v>919</v>
      </c>
      <c r="B26" s="84"/>
      <c r="C26" s="92">
        <v>5</v>
      </c>
      <c r="D26" s="93" t="s">
        <v>1849</v>
      </c>
      <c r="E26" s="97" t="s">
        <v>48</v>
      </c>
      <c r="F26" s="92" t="s">
        <v>1840</v>
      </c>
      <c r="G26" s="92" t="s">
        <v>29</v>
      </c>
      <c r="H26" s="92" t="s">
        <v>29</v>
      </c>
      <c r="I26" s="115" t="s">
        <v>29</v>
      </c>
      <c r="J26" s="89"/>
      <c r="K26" s="89"/>
      <c r="L26" s="89"/>
      <c r="M26" s="96" t="s">
        <v>29</v>
      </c>
      <c r="N26" s="84"/>
      <c r="O26" s="92" t="s">
        <v>29</v>
      </c>
      <c r="P26" s="93" t="s">
        <v>29</v>
      </c>
      <c r="Q26" s="97" t="s">
        <v>29</v>
      </c>
      <c r="R26" s="92" t="s">
        <v>29</v>
      </c>
      <c r="S26" s="92" t="s">
        <v>29</v>
      </c>
      <c r="T26" s="92" t="s">
        <v>29</v>
      </c>
      <c r="U26" s="115" t="s">
        <v>29</v>
      </c>
    </row>
    <row r="27" spans="1:21" ht="15.75" customHeight="1" x14ac:dyDescent="0.25">
      <c r="A27" s="67" t="s">
        <v>919</v>
      </c>
      <c r="B27" s="84"/>
      <c r="C27" s="92">
        <v>6</v>
      </c>
      <c r="D27" s="93" t="s">
        <v>1850</v>
      </c>
      <c r="E27" s="97" t="s">
        <v>663</v>
      </c>
      <c r="F27" s="92" t="s">
        <v>1839</v>
      </c>
      <c r="G27" s="92" t="s">
        <v>29</v>
      </c>
      <c r="H27" s="92" t="s">
        <v>29</v>
      </c>
      <c r="I27" s="115" t="s">
        <v>29</v>
      </c>
      <c r="J27" s="89"/>
      <c r="K27" s="89"/>
      <c r="L27" s="89"/>
      <c r="M27" s="96" t="s">
        <v>29</v>
      </c>
      <c r="N27" s="84"/>
      <c r="O27" s="92" t="s">
        <v>29</v>
      </c>
      <c r="P27" s="93" t="s">
        <v>29</v>
      </c>
      <c r="Q27" s="97" t="s">
        <v>29</v>
      </c>
      <c r="R27" s="92" t="s">
        <v>29</v>
      </c>
      <c r="S27" s="92" t="s">
        <v>29</v>
      </c>
      <c r="T27" s="92" t="s">
        <v>29</v>
      </c>
      <c r="U27" s="115" t="s">
        <v>29</v>
      </c>
    </row>
    <row r="28" spans="1:21" ht="15.75" customHeight="1" x14ac:dyDescent="0.25">
      <c r="A28" s="67" t="s">
        <v>919</v>
      </c>
      <c r="B28" s="84"/>
      <c r="C28" s="92">
        <v>7</v>
      </c>
      <c r="D28" s="93" t="s">
        <v>1851</v>
      </c>
      <c r="E28" s="97" t="s">
        <v>664</v>
      </c>
      <c r="F28" s="92" t="s">
        <v>1839</v>
      </c>
      <c r="G28" s="92" t="s">
        <v>29</v>
      </c>
      <c r="H28" s="92" t="s">
        <v>29</v>
      </c>
      <c r="I28" s="115" t="s">
        <v>29</v>
      </c>
      <c r="J28" s="89"/>
      <c r="K28" s="89"/>
      <c r="L28" s="89"/>
      <c r="M28" s="96" t="s">
        <v>29</v>
      </c>
      <c r="N28" s="84"/>
      <c r="O28" s="92" t="s">
        <v>29</v>
      </c>
      <c r="P28" s="93" t="s">
        <v>29</v>
      </c>
      <c r="Q28" s="97" t="s">
        <v>29</v>
      </c>
      <c r="R28" s="92" t="s">
        <v>29</v>
      </c>
      <c r="S28" s="92" t="s">
        <v>29</v>
      </c>
      <c r="T28" s="92" t="s">
        <v>29</v>
      </c>
      <c r="U28" s="115" t="s">
        <v>29</v>
      </c>
    </row>
    <row r="29" spans="1:21" ht="15.75" customHeight="1" x14ac:dyDescent="0.25">
      <c r="A29" s="67" t="s">
        <v>919</v>
      </c>
      <c r="B29" s="84"/>
      <c r="C29" s="92">
        <v>8</v>
      </c>
      <c r="D29" s="98" t="s">
        <v>1852</v>
      </c>
      <c r="E29" s="97" t="s">
        <v>49</v>
      </c>
      <c r="F29" s="92" t="s">
        <v>1840</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919</v>
      </c>
      <c r="B30" s="84"/>
      <c r="C30" s="92">
        <v>9</v>
      </c>
      <c r="D30" s="98" t="s">
        <v>1853</v>
      </c>
      <c r="E30" s="97" t="s">
        <v>165</v>
      </c>
      <c r="F30" s="92" t="s">
        <v>1839</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919</v>
      </c>
      <c r="B31" s="84"/>
      <c r="C31" s="92">
        <v>10</v>
      </c>
      <c r="D31" s="98" t="s">
        <v>1854</v>
      </c>
      <c r="E31" s="97" t="s">
        <v>50</v>
      </c>
      <c r="F31" s="92" t="s">
        <v>1840</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29</v>
      </c>
      <c r="B32" s="84"/>
      <c r="C32" s="92" t="s">
        <v>29</v>
      </c>
      <c r="D32" s="98" t="s">
        <v>29</v>
      </c>
      <c r="E32" s="97" t="s">
        <v>29</v>
      </c>
      <c r="F32" s="92" t="s">
        <v>29</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29</v>
      </c>
      <c r="B33" s="84"/>
      <c r="C33" s="92" t="s">
        <v>29</v>
      </c>
      <c r="D33" s="98" t="s">
        <v>29</v>
      </c>
      <c r="E33" s="97" t="s">
        <v>29</v>
      </c>
      <c r="F33" s="92" t="s">
        <v>29</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84"/>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84"/>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20"/>
      <c r="E47" s="220"/>
      <c r="F47" s="220"/>
      <c r="G47" s="99">
        <v>0</v>
      </c>
      <c r="H47" s="99">
        <v>9</v>
      </c>
      <c r="I47" s="115" t="s">
        <v>29</v>
      </c>
      <c r="J47" s="89"/>
      <c r="K47" s="89"/>
      <c r="L47" s="89"/>
      <c r="M47" s="96" t="s">
        <v>29</v>
      </c>
      <c r="N47" s="84"/>
      <c r="O47" s="219" t="s">
        <v>955</v>
      </c>
      <c r="P47" s="220"/>
      <c r="Q47" s="220"/>
      <c r="R47" s="220"/>
      <c r="S47" s="99">
        <v>8</v>
      </c>
      <c r="T47" s="99">
        <v>1</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08"/>
      <c r="C51" s="92">
        <v>1</v>
      </c>
      <c r="D51" s="93" t="s">
        <v>1855</v>
      </c>
      <c r="E51" s="94" t="s">
        <v>155</v>
      </c>
      <c r="F51" s="92" t="s">
        <v>1839</v>
      </c>
      <c r="G51" s="92">
        <v>5</v>
      </c>
      <c r="H51" s="92" t="s">
        <v>29</v>
      </c>
      <c r="I51" s="116" t="s">
        <v>29</v>
      </c>
      <c r="J51" s="89"/>
      <c r="K51" s="89"/>
      <c r="L51" s="89"/>
      <c r="M51" s="96" t="s">
        <v>925</v>
      </c>
      <c r="N51" s="108"/>
      <c r="O51" s="92">
        <v>1</v>
      </c>
      <c r="P51" s="93" t="s">
        <v>1856</v>
      </c>
      <c r="Q51" s="94" t="s">
        <v>68</v>
      </c>
      <c r="R51" s="92" t="s">
        <v>1840</v>
      </c>
      <c r="S51" s="92" t="s">
        <v>29</v>
      </c>
      <c r="T51" s="92">
        <v>5</v>
      </c>
      <c r="U51" s="116" t="s">
        <v>29</v>
      </c>
    </row>
    <row r="52" spans="1:21" ht="26.4" x14ac:dyDescent="0.25">
      <c r="A52" s="67" t="s">
        <v>923</v>
      </c>
      <c r="B52" s="108"/>
      <c r="C52" s="92">
        <v>2</v>
      </c>
      <c r="D52" s="93" t="s">
        <v>1857</v>
      </c>
      <c r="E52" s="97" t="s">
        <v>61</v>
      </c>
      <c r="F52" s="92" t="s">
        <v>1840</v>
      </c>
      <c r="G52" s="92" t="s">
        <v>29</v>
      </c>
      <c r="H52" s="92">
        <v>3</v>
      </c>
      <c r="I52" s="116" t="s">
        <v>29</v>
      </c>
      <c r="J52" s="89"/>
      <c r="K52" s="89"/>
      <c r="L52" s="89"/>
      <c r="M52" s="96" t="s">
        <v>925</v>
      </c>
      <c r="N52" s="108"/>
      <c r="O52" s="92">
        <v>2</v>
      </c>
      <c r="P52" s="93" t="s">
        <v>1858</v>
      </c>
      <c r="Q52" s="97" t="s">
        <v>67</v>
      </c>
      <c r="R52" s="92" t="s">
        <v>1840</v>
      </c>
      <c r="S52" s="92" t="s">
        <v>29</v>
      </c>
      <c r="T52" s="92">
        <v>3</v>
      </c>
      <c r="U52" s="116" t="s">
        <v>29</v>
      </c>
    </row>
    <row r="53" spans="1:21" ht="13.2" x14ac:dyDescent="0.25">
      <c r="A53" s="67" t="s">
        <v>923</v>
      </c>
      <c r="B53" s="108"/>
      <c r="C53" s="92">
        <v>3</v>
      </c>
      <c r="D53" s="93" t="s">
        <v>1859</v>
      </c>
      <c r="E53" s="97" t="s">
        <v>62</v>
      </c>
      <c r="F53" s="92" t="s">
        <v>1840</v>
      </c>
      <c r="G53" s="92" t="s">
        <v>29</v>
      </c>
      <c r="H53" s="92">
        <v>1</v>
      </c>
      <c r="I53" s="116" t="s">
        <v>29</v>
      </c>
      <c r="J53" s="89"/>
      <c r="K53" s="89"/>
      <c r="L53" s="89"/>
      <c r="M53" s="96" t="s">
        <v>925</v>
      </c>
      <c r="N53" s="108"/>
      <c r="O53" s="92">
        <v>3</v>
      </c>
      <c r="P53" s="93" t="s">
        <v>1860</v>
      </c>
      <c r="Q53" s="97" t="s">
        <v>66</v>
      </c>
      <c r="R53" s="92" t="s">
        <v>1840</v>
      </c>
      <c r="S53" s="92" t="s">
        <v>29</v>
      </c>
      <c r="T53" s="92">
        <v>1</v>
      </c>
      <c r="U53" s="116" t="s">
        <v>29</v>
      </c>
    </row>
    <row r="54" spans="1:21" ht="13.2" x14ac:dyDescent="0.25">
      <c r="A54" s="67" t="s">
        <v>923</v>
      </c>
      <c r="B54" s="108"/>
      <c r="C54" s="92">
        <v>4</v>
      </c>
      <c r="D54" s="93" t="s">
        <v>1861</v>
      </c>
      <c r="E54" s="97" t="s">
        <v>60</v>
      </c>
      <c r="F54" s="92" t="s">
        <v>1840</v>
      </c>
      <c r="G54" s="92" t="s">
        <v>29</v>
      </c>
      <c r="H54" s="92" t="s">
        <v>29</v>
      </c>
      <c r="I54" s="116" t="s">
        <v>29</v>
      </c>
      <c r="J54" s="89"/>
      <c r="K54" s="89"/>
      <c r="L54" s="89"/>
      <c r="M54" s="96" t="s">
        <v>925</v>
      </c>
      <c r="N54" s="108"/>
      <c r="O54" s="92">
        <v>4</v>
      </c>
      <c r="P54" s="93" t="s">
        <v>1862</v>
      </c>
      <c r="Q54" s="97" t="s">
        <v>670</v>
      </c>
      <c r="R54" s="92" t="s">
        <v>1839</v>
      </c>
      <c r="S54" s="92" t="s">
        <v>29</v>
      </c>
      <c r="T54" s="92" t="s">
        <v>29</v>
      </c>
      <c r="U54" s="116" t="s">
        <v>29</v>
      </c>
    </row>
    <row r="55" spans="1:21" ht="13.2" x14ac:dyDescent="0.25">
      <c r="A55" s="67" t="s">
        <v>29</v>
      </c>
      <c r="B55" s="108"/>
      <c r="C55" s="92" t="s">
        <v>29</v>
      </c>
      <c r="D55" s="93" t="s">
        <v>29</v>
      </c>
      <c r="E55" s="97" t="s">
        <v>29</v>
      </c>
      <c r="F55" s="92" t="s">
        <v>29</v>
      </c>
      <c r="G55" s="92" t="s">
        <v>29</v>
      </c>
      <c r="H55" s="92" t="s">
        <v>29</v>
      </c>
      <c r="I55" s="116" t="s">
        <v>29</v>
      </c>
      <c r="J55" s="89"/>
      <c r="K55" s="89"/>
      <c r="L55" s="89"/>
      <c r="M55" s="96" t="s">
        <v>925</v>
      </c>
      <c r="N55" s="108"/>
      <c r="O55" s="92">
        <v>5</v>
      </c>
      <c r="P55" s="93" t="s">
        <v>1863</v>
      </c>
      <c r="Q55" s="97" t="s">
        <v>671</v>
      </c>
      <c r="R55" s="92" t="s">
        <v>1839</v>
      </c>
      <c r="S55" s="92" t="s">
        <v>29</v>
      </c>
      <c r="T55" s="92" t="s">
        <v>29</v>
      </c>
      <c r="U55" s="116" t="s">
        <v>29</v>
      </c>
    </row>
    <row r="56" spans="1:21" ht="13.2" x14ac:dyDescent="0.25">
      <c r="A56" s="67" t="s">
        <v>29</v>
      </c>
      <c r="B56" s="108"/>
      <c r="C56" s="92" t="s">
        <v>29</v>
      </c>
      <c r="D56" s="93" t="s">
        <v>29</v>
      </c>
      <c r="E56" s="97" t="s">
        <v>29</v>
      </c>
      <c r="F56" s="92" t="s">
        <v>29</v>
      </c>
      <c r="G56" s="92" t="s">
        <v>29</v>
      </c>
      <c r="H56" s="92" t="s">
        <v>29</v>
      </c>
      <c r="I56" s="116" t="s">
        <v>29</v>
      </c>
      <c r="J56" s="89"/>
      <c r="K56" s="89"/>
      <c r="L56" s="89"/>
      <c r="M56" s="96" t="s">
        <v>925</v>
      </c>
      <c r="N56" s="108"/>
      <c r="O56" s="92">
        <v>6</v>
      </c>
      <c r="P56" s="93" t="s">
        <v>1864</v>
      </c>
      <c r="Q56" s="97" t="s">
        <v>65</v>
      </c>
      <c r="R56" s="92" t="s">
        <v>1840</v>
      </c>
      <c r="S56" s="92" t="s">
        <v>29</v>
      </c>
      <c r="T56" s="92" t="s">
        <v>29</v>
      </c>
      <c r="U56" s="116" t="s">
        <v>29</v>
      </c>
    </row>
    <row r="57" spans="1:21" ht="13.2" x14ac:dyDescent="0.25">
      <c r="A57" s="67" t="s">
        <v>29</v>
      </c>
      <c r="B57" s="108"/>
      <c r="C57" s="92" t="s">
        <v>29</v>
      </c>
      <c r="D57" s="93" t="s">
        <v>29</v>
      </c>
      <c r="E57" s="97" t="s">
        <v>29</v>
      </c>
      <c r="F57" s="92" t="s">
        <v>29</v>
      </c>
      <c r="G57" s="92" t="s">
        <v>29</v>
      </c>
      <c r="H57" s="92" t="s">
        <v>29</v>
      </c>
      <c r="I57" s="116" t="s">
        <v>29</v>
      </c>
      <c r="J57" s="89"/>
      <c r="K57" s="89"/>
      <c r="L57" s="89"/>
      <c r="M57" s="96" t="s">
        <v>925</v>
      </c>
      <c r="N57" s="108"/>
      <c r="O57" s="92">
        <v>7</v>
      </c>
      <c r="P57" s="93" t="s">
        <v>1865</v>
      </c>
      <c r="Q57" s="97" t="s">
        <v>48</v>
      </c>
      <c r="R57" s="92" t="s">
        <v>1840</v>
      </c>
      <c r="S57" s="92" t="s">
        <v>29</v>
      </c>
      <c r="T57" s="92" t="s">
        <v>29</v>
      </c>
      <c r="U57" s="116" t="s">
        <v>29</v>
      </c>
    </row>
    <row r="58" spans="1:21" ht="13.2" x14ac:dyDescent="0.25">
      <c r="A58" s="67" t="s">
        <v>29</v>
      </c>
      <c r="B58" s="108"/>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08"/>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20"/>
      <c r="E66" s="220"/>
      <c r="F66" s="222"/>
      <c r="G66" s="99">
        <v>5</v>
      </c>
      <c r="H66" s="99">
        <v>4</v>
      </c>
      <c r="I66" s="116" t="s">
        <v>29</v>
      </c>
      <c r="J66" s="89"/>
      <c r="K66" s="89"/>
      <c r="L66" s="89"/>
      <c r="M66" s="96" t="s">
        <v>29</v>
      </c>
      <c r="N66" s="108"/>
      <c r="O66" s="219" t="s">
        <v>972</v>
      </c>
      <c r="P66" s="220"/>
      <c r="Q66" s="220"/>
      <c r="R66" s="222"/>
      <c r="S66" s="99">
        <v>0</v>
      </c>
      <c r="T66" s="99">
        <v>9</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1866</v>
      </c>
      <c r="E70" s="94" t="s">
        <v>668</v>
      </c>
      <c r="F70" s="92" t="s">
        <v>1839</v>
      </c>
      <c r="G70" s="92">
        <v>5</v>
      </c>
      <c r="H70" s="92" t="s">
        <v>29</v>
      </c>
      <c r="I70" s="115" t="s">
        <v>29</v>
      </c>
      <c r="J70" s="89"/>
      <c r="K70" s="89"/>
      <c r="L70" s="89"/>
      <c r="M70" s="96" t="s">
        <v>929</v>
      </c>
      <c r="N70" s="84"/>
      <c r="O70" s="92">
        <v>1</v>
      </c>
      <c r="P70" s="93" t="s">
        <v>1867</v>
      </c>
      <c r="Q70" s="94" t="s">
        <v>59</v>
      </c>
      <c r="R70" s="92" t="s">
        <v>1840</v>
      </c>
      <c r="S70" s="92" t="s">
        <v>29</v>
      </c>
      <c r="T70" s="92">
        <v>5</v>
      </c>
      <c r="U70" s="115" t="s">
        <v>29</v>
      </c>
    </row>
    <row r="71" spans="1:21" ht="13.2" x14ac:dyDescent="0.25">
      <c r="A71" s="67" t="s">
        <v>927</v>
      </c>
      <c r="B71" s="84"/>
      <c r="C71" s="92">
        <v>2</v>
      </c>
      <c r="D71" s="93" t="s">
        <v>1868</v>
      </c>
      <c r="E71" s="97" t="s">
        <v>667</v>
      </c>
      <c r="F71" s="92" t="s">
        <v>1839</v>
      </c>
      <c r="G71" s="92">
        <v>3</v>
      </c>
      <c r="H71" s="92" t="s">
        <v>29</v>
      </c>
      <c r="I71" s="115" t="s">
        <v>29</v>
      </c>
      <c r="J71" s="89"/>
      <c r="K71" s="89"/>
      <c r="L71" s="89"/>
      <c r="M71" s="96" t="s">
        <v>929</v>
      </c>
      <c r="N71" s="84"/>
      <c r="O71" s="92">
        <v>2</v>
      </c>
      <c r="P71" s="93" t="s">
        <v>1869</v>
      </c>
      <c r="Q71" s="97" t="s">
        <v>57</v>
      </c>
      <c r="R71" s="92" t="s">
        <v>1840</v>
      </c>
      <c r="S71" s="92" t="s">
        <v>29</v>
      </c>
      <c r="T71" s="92">
        <v>3</v>
      </c>
      <c r="U71" s="115" t="s">
        <v>29</v>
      </c>
    </row>
    <row r="72" spans="1:21" ht="13.2" x14ac:dyDescent="0.25">
      <c r="A72" s="67" t="s">
        <v>927</v>
      </c>
      <c r="B72" s="84"/>
      <c r="C72" s="92">
        <v>3</v>
      </c>
      <c r="D72" s="93" t="s">
        <v>1870</v>
      </c>
      <c r="E72" s="97" t="s">
        <v>56</v>
      </c>
      <c r="F72" s="92" t="s">
        <v>1840</v>
      </c>
      <c r="G72" s="92" t="s">
        <v>29</v>
      </c>
      <c r="H72" s="92">
        <v>1</v>
      </c>
      <c r="I72" s="115" t="s">
        <v>29</v>
      </c>
      <c r="J72" s="89"/>
      <c r="K72" s="89"/>
      <c r="L72" s="89"/>
      <c r="M72" s="96" t="s">
        <v>929</v>
      </c>
      <c r="N72" s="84"/>
      <c r="O72" s="92">
        <v>3</v>
      </c>
      <c r="P72" s="93" t="s">
        <v>1871</v>
      </c>
      <c r="Q72" s="97" t="s">
        <v>58</v>
      </c>
      <c r="R72" s="92" t="s">
        <v>1840</v>
      </c>
      <c r="S72" s="92" t="s">
        <v>29</v>
      </c>
      <c r="T72" s="92">
        <v>1</v>
      </c>
      <c r="U72" s="115" t="s">
        <v>29</v>
      </c>
    </row>
    <row r="73" spans="1:21" ht="13.2" x14ac:dyDescent="0.25">
      <c r="A73" s="67" t="s">
        <v>927</v>
      </c>
      <c r="B73" s="84"/>
      <c r="C73" s="92">
        <v>4</v>
      </c>
      <c r="D73" s="93" t="s">
        <v>1872</v>
      </c>
      <c r="E73" s="97" t="s">
        <v>63</v>
      </c>
      <c r="F73" s="92" t="s">
        <v>1840</v>
      </c>
      <c r="G73" s="92" t="s">
        <v>29</v>
      </c>
      <c r="H73" s="92" t="s">
        <v>29</v>
      </c>
      <c r="I73" s="115" t="s">
        <v>64</v>
      </c>
      <c r="J73" s="89"/>
      <c r="K73" s="89"/>
      <c r="L73" s="89"/>
      <c r="M73" s="96" t="s">
        <v>929</v>
      </c>
      <c r="N73" s="84"/>
      <c r="O73" s="92">
        <v>4</v>
      </c>
      <c r="P73" s="93" t="s">
        <v>1873</v>
      </c>
      <c r="Q73" s="97" t="s">
        <v>669</v>
      </c>
      <c r="R73" s="92" t="s">
        <v>1839</v>
      </c>
      <c r="S73" s="92" t="s">
        <v>29</v>
      </c>
      <c r="T73" s="92" t="s">
        <v>29</v>
      </c>
      <c r="U73" s="115" t="s">
        <v>29</v>
      </c>
    </row>
    <row r="74" spans="1:21" ht="13.2" x14ac:dyDescent="0.25">
      <c r="A74" s="67" t="s">
        <v>29</v>
      </c>
      <c r="B74" s="84"/>
      <c r="C74" s="92" t="s">
        <v>29</v>
      </c>
      <c r="D74" s="93" t="s">
        <v>29</v>
      </c>
      <c r="E74" s="97" t="s">
        <v>29</v>
      </c>
      <c r="F74" s="92" t="s">
        <v>29</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84"/>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20"/>
      <c r="E85" s="220"/>
      <c r="F85" s="220"/>
      <c r="G85" s="99">
        <v>8</v>
      </c>
      <c r="H85" s="99">
        <v>1</v>
      </c>
      <c r="I85" s="115" t="s">
        <v>29</v>
      </c>
      <c r="J85" s="89"/>
      <c r="K85" s="89"/>
      <c r="L85" s="89"/>
      <c r="M85" s="96" t="s">
        <v>29</v>
      </c>
      <c r="N85" s="84"/>
      <c r="O85" s="219" t="s">
        <v>985</v>
      </c>
      <c r="P85" s="220"/>
      <c r="Q85" s="220"/>
      <c r="R85" s="220"/>
      <c r="S85" s="99">
        <v>0</v>
      </c>
      <c r="T85" s="99">
        <v>9</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1874</v>
      </c>
      <c r="E89" s="94" t="s">
        <v>70</v>
      </c>
      <c r="F89" s="92" t="s">
        <v>1840</v>
      </c>
      <c r="G89" s="92" t="s">
        <v>29</v>
      </c>
      <c r="H89" s="92">
        <v>5</v>
      </c>
      <c r="I89" s="116" t="s">
        <v>29</v>
      </c>
      <c r="J89" s="89"/>
      <c r="K89" s="89"/>
      <c r="L89" s="89"/>
      <c r="M89" s="96" t="s">
        <v>933</v>
      </c>
      <c r="N89" s="108"/>
      <c r="O89" s="92">
        <v>1</v>
      </c>
      <c r="P89" s="93" t="s">
        <v>1875</v>
      </c>
      <c r="Q89" s="94" t="s">
        <v>71</v>
      </c>
      <c r="R89" s="92" t="s">
        <v>1840</v>
      </c>
      <c r="S89" s="92" t="s">
        <v>29</v>
      </c>
      <c r="T89" s="92">
        <v>5</v>
      </c>
      <c r="U89" s="116" t="s">
        <v>29</v>
      </c>
    </row>
    <row r="90" spans="1:21" ht="13.2" x14ac:dyDescent="0.25">
      <c r="A90" s="67" t="s">
        <v>931</v>
      </c>
      <c r="B90" s="108"/>
      <c r="C90" s="92">
        <v>2</v>
      </c>
      <c r="D90" s="93" t="s">
        <v>1876</v>
      </c>
      <c r="E90" s="97" t="s">
        <v>69</v>
      </c>
      <c r="F90" s="92" t="s">
        <v>1840</v>
      </c>
      <c r="G90" s="92" t="s">
        <v>29</v>
      </c>
      <c r="H90" s="92">
        <v>3</v>
      </c>
      <c r="I90" s="116" t="s">
        <v>29</v>
      </c>
      <c r="J90" s="89"/>
      <c r="K90" s="89"/>
      <c r="L90" s="89"/>
      <c r="M90" s="96" t="s">
        <v>933</v>
      </c>
      <c r="N90" s="108"/>
      <c r="O90" s="92">
        <v>2</v>
      </c>
      <c r="P90" s="93" t="s">
        <v>1877</v>
      </c>
      <c r="Q90" s="97" t="s">
        <v>673</v>
      </c>
      <c r="R90" s="92" t="s">
        <v>1839</v>
      </c>
      <c r="S90" s="92">
        <v>3</v>
      </c>
      <c r="T90" s="92" t="s">
        <v>29</v>
      </c>
      <c r="U90" s="116" t="s">
        <v>29</v>
      </c>
    </row>
    <row r="91" spans="1:21" ht="13.2" x14ac:dyDescent="0.25">
      <c r="A91" s="67" t="s">
        <v>931</v>
      </c>
      <c r="B91" s="108"/>
      <c r="C91" s="92">
        <v>3</v>
      </c>
      <c r="D91" s="93" t="s">
        <v>1878</v>
      </c>
      <c r="E91" s="97" t="s">
        <v>672</v>
      </c>
      <c r="F91" s="92" t="s">
        <v>1839</v>
      </c>
      <c r="G91" s="92">
        <v>1</v>
      </c>
      <c r="H91" s="92" t="s">
        <v>29</v>
      </c>
      <c r="I91" s="116" t="s">
        <v>29</v>
      </c>
      <c r="J91" s="89"/>
      <c r="K91" s="89"/>
      <c r="L91" s="89"/>
      <c r="M91" s="96" t="s">
        <v>933</v>
      </c>
      <c r="N91" s="108"/>
      <c r="O91" s="92">
        <v>3</v>
      </c>
      <c r="P91" s="93" t="s">
        <v>1879</v>
      </c>
      <c r="Q91" s="97" t="s">
        <v>72</v>
      </c>
      <c r="R91" s="92" t="s">
        <v>1840</v>
      </c>
      <c r="S91" s="92" t="s">
        <v>29</v>
      </c>
      <c r="T91" s="92">
        <v>1</v>
      </c>
      <c r="U91" s="116" t="s">
        <v>29</v>
      </c>
    </row>
    <row r="92" spans="1:21" ht="13.2" x14ac:dyDescent="0.25">
      <c r="A92" s="67" t="s">
        <v>29</v>
      </c>
      <c r="B92" s="108"/>
      <c r="C92" s="92" t="s">
        <v>29</v>
      </c>
      <c r="D92" s="93" t="s">
        <v>29</v>
      </c>
      <c r="E92" s="97" t="s">
        <v>29</v>
      </c>
      <c r="F92" s="92" t="s">
        <v>29</v>
      </c>
      <c r="G92" s="92" t="s">
        <v>29</v>
      </c>
      <c r="H92" s="92" t="s">
        <v>29</v>
      </c>
      <c r="I92" s="116" t="s">
        <v>29</v>
      </c>
      <c r="J92" s="89"/>
      <c r="K92" s="89"/>
      <c r="L92" s="89"/>
      <c r="M92" s="96" t="s">
        <v>29</v>
      </c>
      <c r="N92" s="108"/>
      <c r="O92" s="92" t="s">
        <v>29</v>
      </c>
      <c r="P92" s="93" t="s">
        <v>29</v>
      </c>
      <c r="Q92" s="97" t="s">
        <v>29</v>
      </c>
      <c r="R92" s="92" t="s">
        <v>29</v>
      </c>
      <c r="S92" s="92" t="s">
        <v>29</v>
      </c>
      <c r="T92" s="92" t="s">
        <v>29</v>
      </c>
      <c r="U92" s="116" t="s">
        <v>29</v>
      </c>
    </row>
    <row r="93" spans="1:21" ht="13.2" x14ac:dyDescent="0.25">
      <c r="A93" s="67" t="s">
        <v>29</v>
      </c>
      <c r="B93" s="108"/>
      <c r="C93" s="92" t="s">
        <v>29</v>
      </c>
      <c r="D93" s="93" t="s">
        <v>29</v>
      </c>
      <c r="E93" s="97" t="s">
        <v>29</v>
      </c>
      <c r="F93" s="92" t="s">
        <v>29</v>
      </c>
      <c r="G93" s="92" t="s">
        <v>29</v>
      </c>
      <c r="H93" s="92" t="s">
        <v>29</v>
      </c>
      <c r="I93" s="116" t="s">
        <v>29</v>
      </c>
      <c r="J93" s="89"/>
      <c r="K93" s="89"/>
      <c r="L93" s="89"/>
      <c r="M93" s="96" t="s">
        <v>29</v>
      </c>
      <c r="N93" s="108"/>
      <c r="O93" s="92" t="s">
        <v>29</v>
      </c>
      <c r="P93" s="93" t="s">
        <v>29</v>
      </c>
      <c r="Q93" s="97" t="s">
        <v>29</v>
      </c>
      <c r="R93" s="92" t="s">
        <v>29</v>
      </c>
      <c r="S93" s="92" t="s">
        <v>29</v>
      </c>
      <c r="T93" s="92" t="s">
        <v>29</v>
      </c>
      <c r="U93" s="116" t="s">
        <v>29</v>
      </c>
    </row>
    <row r="94" spans="1:21" ht="13.2" x14ac:dyDescent="0.25">
      <c r="A94" s="67" t="s">
        <v>29</v>
      </c>
      <c r="B94" s="108"/>
      <c r="C94" s="92" t="s">
        <v>29</v>
      </c>
      <c r="D94" s="93" t="s">
        <v>29</v>
      </c>
      <c r="E94" s="97" t="s">
        <v>29</v>
      </c>
      <c r="F94" s="92" t="s">
        <v>29</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29</v>
      </c>
      <c r="B95" s="108"/>
      <c r="C95" s="92" t="s">
        <v>29</v>
      </c>
      <c r="D95" s="93" t="s">
        <v>29</v>
      </c>
      <c r="E95" s="97" t="s">
        <v>29</v>
      </c>
      <c r="F95" s="92" t="s">
        <v>29</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29</v>
      </c>
      <c r="B96" s="108"/>
      <c r="C96" s="92" t="s">
        <v>29</v>
      </c>
      <c r="D96" s="93" t="s">
        <v>29</v>
      </c>
      <c r="E96" s="97" t="s">
        <v>29</v>
      </c>
      <c r="F96" s="92" t="s">
        <v>29</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29</v>
      </c>
      <c r="B97" s="108"/>
      <c r="C97" s="92" t="s">
        <v>29</v>
      </c>
      <c r="D97" s="93" t="s">
        <v>29</v>
      </c>
      <c r="E97" s="97" t="s">
        <v>29</v>
      </c>
      <c r="F97" s="92" t="s">
        <v>29</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08"/>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20"/>
      <c r="E104" s="220"/>
      <c r="F104" s="220"/>
      <c r="G104" s="99">
        <v>1</v>
      </c>
      <c r="H104" s="99">
        <v>8</v>
      </c>
      <c r="I104" s="116" t="s">
        <v>29</v>
      </c>
      <c r="J104" s="89"/>
      <c r="K104" s="89"/>
      <c r="L104" s="89"/>
      <c r="M104" s="96" t="s">
        <v>29</v>
      </c>
      <c r="N104" s="108"/>
      <c r="O104" s="219" t="s">
        <v>996</v>
      </c>
      <c r="P104" s="220"/>
      <c r="Q104" s="220"/>
      <c r="R104" s="220"/>
      <c r="S104" s="99">
        <v>3</v>
      </c>
      <c r="T104" s="99">
        <v>6</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1880</v>
      </c>
      <c r="R106" s="220"/>
      <c r="S106" s="220"/>
      <c r="T106" s="222"/>
      <c r="U106" s="66" t="s">
        <v>29</v>
      </c>
    </row>
    <row r="107" spans="1:21" ht="13.2" x14ac:dyDescent="0.25">
      <c r="A107" s="67"/>
      <c r="B107" s="66"/>
      <c r="C107" s="245" t="s">
        <v>1881</v>
      </c>
      <c r="D107" s="227"/>
      <c r="E107" s="227"/>
      <c r="F107" s="227"/>
      <c r="G107" s="227"/>
      <c r="H107" s="228"/>
      <c r="I107" s="89" t="s">
        <v>29</v>
      </c>
      <c r="J107" s="89"/>
      <c r="K107" s="89"/>
      <c r="L107" s="89"/>
      <c r="M107" s="96"/>
      <c r="N107" s="119"/>
      <c r="O107" s="120" t="s">
        <v>1001</v>
      </c>
      <c r="P107" s="121"/>
      <c r="Q107" s="221" t="s">
        <v>1882</v>
      </c>
      <c r="R107" s="220"/>
      <c r="S107" s="220"/>
      <c r="T107" s="222"/>
      <c r="U107" s="66" t="s">
        <v>29</v>
      </c>
    </row>
    <row r="108" spans="1:21" ht="13.2" x14ac:dyDescent="0.25">
      <c r="A108" s="67"/>
      <c r="B108" s="66"/>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B109" s="66"/>
      <c r="C109" s="118" t="s">
        <v>1003</v>
      </c>
      <c r="D109" s="122"/>
      <c r="E109" s="225" t="s">
        <v>1882</v>
      </c>
      <c r="F109" s="220"/>
      <c r="G109" s="220"/>
      <c r="H109" s="222"/>
      <c r="I109" s="89" t="s">
        <v>29</v>
      </c>
      <c r="J109" s="89"/>
      <c r="K109" s="89"/>
      <c r="L109" s="89"/>
      <c r="M109" s="96"/>
      <c r="N109" s="119"/>
      <c r="O109" s="118" t="s">
        <v>1004</v>
      </c>
      <c r="P109" s="122"/>
      <c r="Q109" s="225" t="s">
        <v>1883</v>
      </c>
      <c r="R109" s="220"/>
      <c r="S109" s="220"/>
      <c r="T109" s="222"/>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42"/>
      <c r="D111" s="227"/>
      <c r="E111" s="227"/>
      <c r="F111" s="227"/>
      <c r="G111" s="227"/>
      <c r="H111" s="228"/>
      <c r="I111" s="66" t="s">
        <v>29</v>
      </c>
      <c r="J111" s="66"/>
      <c r="K111" s="66"/>
      <c r="L111" s="66"/>
      <c r="M111" s="74"/>
      <c r="N111" s="123"/>
      <c r="O111" s="240"/>
      <c r="P111" s="227"/>
      <c r="Q111" s="227"/>
      <c r="R111" s="227"/>
      <c r="S111" s="227"/>
      <c r="T111" s="228"/>
      <c r="U111" s="66" t="s">
        <v>29</v>
      </c>
    </row>
    <row r="112" spans="1:21" ht="13.2" x14ac:dyDescent="0.25">
      <c r="A112" s="67"/>
      <c r="B112" s="66"/>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B113" s="66"/>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B114" s="66"/>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220"/>
      <c r="E119" s="271" t="s">
        <v>900</v>
      </c>
      <c r="F119" s="220"/>
      <c r="G119" s="222"/>
      <c r="H119" s="150" t="s">
        <v>1884</v>
      </c>
      <c r="I119" s="151" t="s">
        <v>29</v>
      </c>
      <c r="J119" s="152"/>
      <c r="K119" s="152"/>
      <c r="L119" s="152"/>
      <c r="M119" s="153"/>
      <c r="N119" s="64"/>
      <c r="O119" s="236" t="s">
        <v>860</v>
      </c>
      <c r="P119" s="220"/>
      <c r="Q119" s="261" t="s">
        <v>901</v>
      </c>
      <c r="R119" s="220"/>
      <c r="S119" s="222"/>
      <c r="T119" s="154" t="s">
        <v>1885</v>
      </c>
      <c r="U119" s="155" t="s">
        <v>29</v>
      </c>
    </row>
    <row r="120" spans="1:21" ht="17.399999999999999" x14ac:dyDescent="0.25">
      <c r="A120" s="67"/>
      <c r="B120" s="156"/>
      <c r="C120" s="265" t="s">
        <v>2</v>
      </c>
      <c r="D120" s="222"/>
      <c r="E120" s="266">
        <v>25</v>
      </c>
      <c r="F120" s="220"/>
      <c r="G120" s="220"/>
      <c r="H120" s="157"/>
      <c r="I120" s="151" t="s">
        <v>29</v>
      </c>
      <c r="J120" s="158"/>
      <c r="K120" s="158"/>
      <c r="L120" s="158"/>
      <c r="M120" s="159"/>
      <c r="N120" s="64"/>
      <c r="O120" s="262" t="s">
        <v>2</v>
      </c>
      <c r="P120" s="222"/>
      <c r="Q120" s="263">
        <v>37</v>
      </c>
      <c r="R120" s="220"/>
      <c r="S120" s="220"/>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8"/>
      <c r="E122" s="68"/>
      <c r="F122" s="68"/>
      <c r="G122" s="72" t="s">
        <v>917</v>
      </c>
      <c r="H122" s="73" t="s">
        <v>918</v>
      </c>
      <c r="I122" s="66" t="s">
        <v>29</v>
      </c>
      <c r="J122" s="66"/>
      <c r="K122" s="66"/>
      <c r="L122" s="66"/>
      <c r="M122" s="74"/>
      <c r="N122" s="66"/>
      <c r="O122" s="68"/>
      <c r="P122" s="68"/>
      <c r="Q122" s="68"/>
      <c r="R122" s="68"/>
      <c r="S122" s="72" t="s">
        <v>917</v>
      </c>
      <c r="T122" s="73" t="s">
        <v>918</v>
      </c>
      <c r="U122" s="66" t="s">
        <v>29</v>
      </c>
    </row>
    <row r="123" spans="1:21" ht="13.2" x14ac:dyDescent="0.25">
      <c r="A123" s="67"/>
      <c r="B123" s="66"/>
      <c r="C123" s="68" t="s">
        <v>919</v>
      </c>
      <c r="D123" s="161" t="s">
        <v>920</v>
      </c>
      <c r="E123" s="68"/>
      <c r="F123" s="68"/>
      <c r="G123" s="78">
        <v>3</v>
      </c>
      <c r="H123" s="79">
        <v>6</v>
      </c>
      <c r="I123" s="66" t="s">
        <v>29</v>
      </c>
      <c r="J123" s="66"/>
      <c r="K123" s="66"/>
      <c r="L123" s="66"/>
      <c r="M123" s="74"/>
      <c r="N123" s="66"/>
      <c r="O123" s="68" t="s">
        <v>921</v>
      </c>
      <c r="P123" s="161" t="s">
        <v>922</v>
      </c>
      <c r="Q123" s="68"/>
      <c r="R123" s="68"/>
      <c r="S123" s="78">
        <v>5</v>
      </c>
      <c r="T123" s="79">
        <v>4</v>
      </c>
      <c r="U123" s="66" t="s">
        <v>29</v>
      </c>
    </row>
    <row r="124" spans="1:21" ht="13.2" x14ac:dyDescent="0.25">
      <c r="A124" s="67"/>
      <c r="B124" s="66"/>
      <c r="C124" s="68" t="s">
        <v>923</v>
      </c>
      <c r="D124" s="161" t="s">
        <v>924</v>
      </c>
      <c r="E124" s="68"/>
      <c r="F124" s="68"/>
      <c r="G124" s="78">
        <v>0</v>
      </c>
      <c r="H124" s="79">
        <v>9</v>
      </c>
      <c r="I124" s="66" t="s">
        <v>29</v>
      </c>
      <c r="J124" s="66"/>
      <c r="K124" s="66"/>
      <c r="L124" s="66"/>
      <c r="M124" s="74"/>
      <c r="N124" s="66"/>
      <c r="O124" s="68" t="s">
        <v>925</v>
      </c>
      <c r="P124" s="161" t="s">
        <v>926</v>
      </c>
      <c r="Q124" s="68"/>
      <c r="R124" s="68"/>
      <c r="S124" s="78">
        <v>4</v>
      </c>
      <c r="T124" s="79">
        <v>5</v>
      </c>
      <c r="U124" s="66" t="s">
        <v>29</v>
      </c>
    </row>
    <row r="125" spans="1:21" ht="13.2" x14ac:dyDescent="0.25">
      <c r="A125" s="67"/>
      <c r="B125" s="66"/>
      <c r="C125" s="68" t="s">
        <v>927</v>
      </c>
      <c r="D125" s="161" t="s">
        <v>928</v>
      </c>
      <c r="E125" s="68"/>
      <c r="F125" s="68"/>
      <c r="G125" s="78">
        <v>3</v>
      </c>
      <c r="H125" s="79">
        <v>5</v>
      </c>
      <c r="I125" s="66" t="s">
        <v>29</v>
      </c>
      <c r="J125" s="66"/>
      <c r="K125" s="66"/>
      <c r="L125" s="66"/>
      <c r="M125" s="74"/>
      <c r="N125" s="66"/>
      <c r="O125" s="68" t="s">
        <v>929</v>
      </c>
      <c r="P125" s="161" t="s">
        <v>930</v>
      </c>
      <c r="Q125" s="68"/>
      <c r="R125" s="68"/>
      <c r="S125" s="78">
        <v>5</v>
      </c>
      <c r="T125" s="79">
        <v>0</v>
      </c>
      <c r="U125" s="66" t="s">
        <v>29</v>
      </c>
    </row>
    <row r="126" spans="1:21" ht="13.2" x14ac:dyDescent="0.25">
      <c r="A126" s="67"/>
      <c r="B126" s="66"/>
      <c r="C126" s="68" t="s">
        <v>931</v>
      </c>
      <c r="D126" s="161" t="s">
        <v>932</v>
      </c>
      <c r="E126" s="68"/>
      <c r="F126" s="68"/>
      <c r="G126" s="78">
        <v>0</v>
      </c>
      <c r="H126" s="79">
        <v>5</v>
      </c>
      <c r="I126" s="66" t="s">
        <v>29</v>
      </c>
      <c r="J126" s="66"/>
      <c r="K126" s="66"/>
      <c r="L126" s="66"/>
      <c r="M126" s="74"/>
      <c r="N126" s="66"/>
      <c r="O126" s="68" t="s">
        <v>933</v>
      </c>
      <c r="P126" s="161" t="s">
        <v>934</v>
      </c>
      <c r="Q126" s="68"/>
      <c r="R126" s="68"/>
      <c r="S126" s="78">
        <v>5</v>
      </c>
      <c r="T126" s="79">
        <v>3</v>
      </c>
      <c r="U126" s="66" t="s">
        <v>29</v>
      </c>
    </row>
    <row r="127" spans="1:21" ht="13.2" x14ac:dyDescent="0.25">
      <c r="A127" s="67"/>
      <c r="B127" s="66"/>
      <c r="C127" s="80"/>
      <c r="D127" s="162" t="s">
        <v>935</v>
      </c>
      <c r="E127" s="162"/>
      <c r="F127" s="162"/>
      <c r="G127" s="72">
        <v>6</v>
      </c>
      <c r="H127" s="73">
        <v>25</v>
      </c>
      <c r="I127" s="66" t="s">
        <v>29</v>
      </c>
      <c r="J127" s="66"/>
      <c r="K127" s="66"/>
      <c r="L127" s="66"/>
      <c r="M127" s="74"/>
      <c r="N127" s="66"/>
      <c r="O127" s="80"/>
      <c r="P127" s="162" t="s">
        <v>935</v>
      </c>
      <c r="Q127" s="162"/>
      <c r="R127" s="162"/>
      <c r="S127" s="72">
        <v>19</v>
      </c>
      <c r="T127" s="73">
        <v>12</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1886</v>
      </c>
      <c r="E132" s="94" t="s">
        <v>505</v>
      </c>
      <c r="F132" s="92" t="s">
        <v>1885</v>
      </c>
      <c r="G132" s="92" t="s">
        <v>29</v>
      </c>
      <c r="H132" s="92">
        <v>5</v>
      </c>
      <c r="I132" s="115" t="s">
        <v>29</v>
      </c>
      <c r="J132" s="89"/>
      <c r="K132" s="89"/>
      <c r="L132" s="89"/>
      <c r="M132" s="96" t="s">
        <v>921</v>
      </c>
      <c r="N132" s="84"/>
      <c r="O132" s="92">
        <v>1</v>
      </c>
      <c r="P132" s="93" t="s">
        <v>1887</v>
      </c>
      <c r="Q132" s="94" t="s">
        <v>42</v>
      </c>
      <c r="R132" s="92" t="s">
        <v>1884</v>
      </c>
      <c r="S132" s="92">
        <v>5</v>
      </c>
      <c r="T132" s="92" t="s">
        <v>29</v>
      </c>
      <c r="U132" s="115" t="s">
        <v>29</v>
      </c>
    </row>
    <row r="133" spans="1:21" ht="13.2" x14ac:dyDescent="0.25">
      <c r="A133" s="67" t="s">
        <v>919</v>
      </c>
      <c r="B133" s="84"/>
      <c r="C133" s="92">
        <v>2</v>
      </c>
      <c r="D133" s="93" t="s">
        <v>1888</v>
      </c>
      <c r="E133" s="97" t="s">
        <v>38</v>
      </c>
      <c r="F133" s="92" t="s">
        <v>1884</v>
      </c>
      <c r="G133" s="92">
        <v>3</v>
      </c>
      <c r="H133" s="92" t="s">
        <v>29</v>
      </c>
      <c r="I133" s="115" t="s">
        <v>29</v>
      </c>
      <c r="J133" s="89"/>
      <c r="K133" s="89"/>
      <c r="L133" s="89"/>
      <c r="M133" s="96" t="s">
        <v>921</v>
      </c>
      <c r="N133" s="84"/>
      <c r="O133" s="92">
        <v>2</v>
      </c>
      <c r="P133" s="93" t="s">
        <v>1889</v>
      </c>
      <c r="Q133" s="97" t="s">
        <v>509</v>
      </c>
      <c r="R133" s="92" t="s">
        <v>1885</v>
      </c>
      <c r="S133" s="92" t="s">
        <v>29</v>
      </c>
      <c r="T133" s="92">
        <v>3</v>
      </c>
      <c r="U133" s="115" t="s">
        <v>29</v>
      </c>
    </row>
    <row r="134" spans="1:21" ht="13.2" x14ac:dyDescent="0.25">
      <c r="A134" s="67" t="s">
        <v>919</v>
      </c>
      <c r="B134" s="84"/>
      <c r="C134" s="92">
        <v>3</v>
      </c>
      <c r="D134" s="93" t="s">
        <v>1890</v>
      </c>
      <c r="E134" s="97" t="s">
        <v>506</v>
      </c>
      <c r="F134" s="92" t="s">
        <v>1885</v>
      </c>
      <c r="G134" s="92" t="s">
        <v>29</v>
      </c>
      <c r="H134" s="92">
        <v>1</v>
      </c>
      <c r="I134" s="115" t="s">
        <v>29</v>
      </c>
      <c r="J134" s="89"/>
      <c r="K134" s="89"/>
      <c r="L134" s="89"/>
      <c r="M134" s="96" t="s">
        <v>921</v>
      </c>
      <c r="N134" s="84"/>
      <c r="O134" s="92">
        <v>3</v>
      </c>
      <c r="P134" s="93" t="s">
        <v>1891</v>
      </c>
      <c r="Q134" s="97" t="s">
        <v>510</v>
      </c>
      <c r="R134" s="92" t="s">
        <v>1885</v>
      </c>
      <c r="S134" s="92" t="s">
        <v>29</v>
      </c>
      <c r="T134" s="92">
        <v>1</v>
      </c>
      <c r="U134" s="115" t="s">
        <v>29</v>
      </c>
    </row>
    <row r="135" spans="1:21" ht="13.2" x14ac:dyDescent="0.25">
      <c r="A135" s="67" t="s">
        <v>919</v>
      </c>
      <c r="B135" s="84"/>
      <c r="C135" s="92">
        <v>4</v>
      </c>
      <c r="D135" s="93" t="s">
        <v>1892</v>
      </c>
      <c r="E135" s="97" t="s">
        <v>37</v>
      </c>
      <c r="F135" s="92" t="s">
        <v>1884</v>
      </c>
      <c r="G135" s="92" t="s">
        <v>29</v>
      </c>
      <c r="H135" s="92" t="s">
        <v>29</v>
      </c>
      <c r="I135" s="115" t="s">
        <v>29</v>
      </c>
      <c r="J135" s="89"/>
      <c r="K135" s="89"/>
      <c r="L135" s="89"/>
      <c r="M135" s="96" t="s">
        <v>921</v>
      </c>
      <c r="N135" s="84"/>
      <c r="O135" s="92">
        <v>4</v>
      </c>
      <c r="P135" s="93" t="s">
        <v>1893</v>
      </c>
      <c r="Q135" s="97" t="s">
        <v>39</v>
      </c>
      <c r="R135" s="92" t="s">
        <v>1884</v>
      </c>
      <c r="S135" s="92" t="s">
        <v>29</v>
      </c>
      <c r="T135" s="92" t="s">
        <v>29</v>
      </c>
      <c r="U135" s="115" t="s">
        <v>29</v>
      </c>
    </row>
    <row r="136" spans="1:21" ht="13.2" x14ac:dyDescent="0.25">
      <c r="A136" s="67" t="s">
        <v>919</v>
      </c>
      <c r="B136" s="84"/>
      <c r="C136" s="92">
        <v>5</v>
      </c>
      <c r="D136" s="93" t="s">
        <v>1894</v>
      </c>
      <c r="E136" s="97" t="s">
        <v>507</v>
      </c>
      <c r="F136" s="92" t="s">
        <v>1885</v>
      </c>
      <c r="G136" s="92" t="s">
        <v>29</v>
      </c>
      <c r="H136" s="92" t="s">
        <v>29</v>
      </c>
      <c r="I136" s="115" t="s">
        <v>29</v>
      </c>
      <c r="J136" s="89"/>
      <c r="K136" s="89"/>
      <c r="L136" s="89"/>
      <c r="M136" s="96" t="s">
        <v>921</v>
      </c>
      <c r="N136" s="84"/>
      <c r="O136" s="92">
        <v>5</v>
      </c>
      <c r="P136" s="93" t="s">
        <v>1895</v>
      </c>
      <c r="Q136" s="97" t="s">
        <v>508</v>
      </c>
      <c r="R136" s="92" t="s">
        <v>1885</v>
      </c>
      <c r="S136" s="92" t="s">
        <v>29</v>
      </c>
      <c r="T136" s="92" t="s">
        <v>29</v>
      </c>
      <c r="U136" s="115" t="s">
        <v>29</v>
      </c>
    </row>
    <row r="137" spans="1:21" ht="13.2" x14ac:dyDescent="0.25">
      <c r="A137" s="67" t="s">
        <v>919</v>
      </c>
      <c r="B137" s="84"/>
      <c r="C137" s="92">
        <v>6</v>
      </c>
      <c r="D137" s="93" t="s">
        <v>1896</v>
      </c>
      <c r="E137" s="97" t="s">
        <v>36</v>
      </c>
      <c r="F137" s="92" t="s">
        <v>1884</v>
      </c>
      <c r="G137" s="92" t="s">
        <v>29</v>
      </c>
      <c r="H137" s="92" t="s">
        <v>29</v>
      </c>
      <c r="I137" s="115" t="s">
        <v>29</v>
      </c>
      <c r="J137" s="89"/>
      <c r="K137" s="89"/>
      <c r="L137" s="89"/>
      <c r="M137" s="96" t="s">
        <v>921</v>
      </c>
      <c r="N137" s="84"/>
      <c r="O137" s="92">
        <v>6</v>
      </c>
      <c r="P137" s="93" t="s">
        <v>1897</v>
      </c>
      <c r="Q137" s="97" t="s">
        <v>40</v>
      </c>
      <c r="R137" s="92" t="s">
        <v>1884</v>
      </c>
      <c r="S137" s="92" t="s">
        <v>29</v>
      </c>
      <c r="T137" s="92" t="s">
        <v>29</v>
      </c>
      <c r="U137" s="115" t="s">
        <v>29</v>
      </c>
    </row>
    <row r="138" spans="1:21" ht="13.2" x14ac:dyDescent="0.25">
      <c r="A138" s="67" t="s">
        <v>919</v>
      </c>
      <c r="B138" s="84"/>
      <c r="C138" s="92">
        <v>7</v>
      </c>
      <c r="D138" s="93" t="s">
        <v>1898</v>
      </c>
      <c r="E138" s="97" t="s">
        <v>504</v>
      </c>
      <c r="F138" s="92" t="s">
        <v>1885</v>
      </c>
      <c r="G138" s="92" t="s">
        <v>29</v>
      </c>
      <c r="H138" s="92" t="s">
        <v>29</v>
      </c>
      <c r="I138" s="115" t="s">
        <v>29</v>
      </c>
      <c r="J138" s="89"/>
      <c r="K138" s="89"/>
      <c r="L138" s="89"/>
      <c r="M138" s="96" t="s">
        <v>921</v>
      </c>
      <c r="N138" s="84"/>
      <c r="O138" s="92">
        <v>7</v>
      </c>
      <c r="P138" s="93" t="s">
        <v>1899</v>
      </c>
      <c r="Q138" s="97" t="s">
        <v>41</v>
      </c>
      <c r="R138" s="92" t="s">
        <v>1884</v>
      </c>
      <c r="S138" s="92" t="s">
        <v>29</v>
      </c>
      <c r="T138" s="92" t="s">
        <v>29</v>
      </c>
      <c r="U138" s="115" t="s">
        <v>29</v>
      </c>
    </row>
    <row r="139" spans="1:21" ht="13.2" x14ac:dyDescent="0.25">
      <c r="A139" s="67" t="s">
        <v>919</v>
      </c>
      <c r="B139" s="84"/>
      <c r="C139" s="92">
        <v>8</v>
      </c>
      <c r="D139" s="98" t="s">
        <v>1900</v>
      </c>
      <c r="E139" s="97" t="s">
        <v>503</v>
      </c>
      <c r="F139" s="92" t="s">
        <v>1885</v>
      </c>
      <c r="G139" s="92" t="s">
        <v>29</v>
      </c>
      <c r="H139" s="92" t="s">
        <v>29</v>
      </c>
      <c r="I139" s="115" t="s">
        <v>29</v>
      </c>
      <c r="J139" s="89"/>
      <c r="K139" s="89"/>
      <c r="L139" s="89"/>
      <c r="M139" s="96" t="s">
        <v>921</v>
      </c>
      <c r="N139" s="84"/>
      <c r="O139" s="92">
        <v>8</v>
      </c>
      <c r="P139" s="93" t="s">
        <v>1901</v>
      </c>
      <c r="Q139" s="97" t="s">
        <v>511</v>
      </c>
      <c r="R139" s="92" t="s">
        <v>1885</v>
      </c>
      <c r="S139" s="92" t="s">
        <v>29</v>
      </c>
      <c r="T139" s="92" t="s">
        <v>29</v>
      </c>
      <c r="U139" s="115" t="s">
        <v>29</v>
      </c>
    </row>
    <row r="140" spans="1:21" ht="13.2" x14ac:dyDescent="0.25">
      <c r="A140" s="67" t="s">
        <v>29</v>
      </c>
      <c r="B140" s="84"/>
      <c r="C140" s="92" t="s">
        <v>29</v>
      </c>
      <c r="D140" s="98" t="s">
        <v>29</v>
      </c>
      <c r="E140" s="97" t="s">
        <v>29</v>
      </c>
      <c r="F140" s="92" t="s">
        <v>29</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29</v>
      </c>
      <c r="B141" s="84"/>
      <c r="C141" s="92" t="s">
        <v>29</v>
      </c>
      <c r="D141" s="98" t="s">
        <v>29</v>
      </c>
      <c r="E141" s="97" t="s">
        <v>29</v>
      </c>
      <c r="F141" s="92" t="s">
        <v>29</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29</v>
      </c>
      <c r="B142" s="84"/>
      <c r="C142" s="92" t="s">
        <v>29</v>
      </c>
      <c r="D142" s="98" t="s">
        <v>29</v>
      </c>
      <c r="E142" s="97" t="s">
        <v>29</v>
      </c>
      <c r="F142" s="92" t="s">
        <v>29</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29</v>
      </c>
      <c r="B143" s="84"/>
      <c r="C143" s="92" t="s">
        <v>29</v>
      </c>
      <c r="D143" s="98" t="s">
        <v>29</v>
      </c>
      <c r="E143" s="97" t="s">
        <v>29</v>
      </c>
      <c r="F143" s="92" t="s">
        <v>29</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29</v>
      </c>
      <c r="B144" s="84"/>
      <c r="C144" s="92" t="s">
        <v>29</v>
      </c>
      <c r="D144" s="98" t="s">
        <v>29</v>
      </c>
      <c r="E144" s="97" t="s">
        <v>29</v>
      </c>
      <c r="F144" s="92" t="s">
        <v>29</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20"/>
      <c r="E157" s="220"/>
      <c r="F157" s="220"/>
      <c r="G157" s="99">
        <v>3</v>
      </c>
      <c r="H157" s="99">
        <v>6</v>
      </c>
      <c r="I157" s="115" t="s">
        <v>29</v>
      </c>
      <c r="J157" s="89"/>
      <c r="K157" s="89"/>
      <c r="L157" s="89"/>
      <c r="M157" s="96" t="s">
        <v>29</v>
      </c>
      <c r="N157" s="84"/>
      <c r="O157" s="219" t="s">
        <v>955</v>
      </c>
      <c r="P157" s="220"/>
      <c r="Q157" s="220"/>
      <c r="R157" s="220"/>
      <c r="S157" s="99">
        <v>5</v>
      </c>
      <c r="T157" s="99">
        <v>4</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1902</v>
      </c>
      <c r="E161" s="94" t="s">
        <v>515</v>
      </c>
      <c r="F161" s="92" t="s">
        <v>1885</v>
      </c>
      <c r="G161" s="92" t="s">
        <v>29</v>
      </c>
      <c r="H161" s="92">
        <v>5</v>
      </c>
      <c r="I161" s="116" t="s">
        <v>29</v>
      </c>
      <c r="J161" s="89"/>
      <c r="K161" s="89"/>
      <c r="L161" s="89"/>
      <c r="M161" s="96" t="s">
        <v>925</v>
      </c>
      <c r="N161" s="108"/>
      <c r="O161" s="92">
        <v>1</v>
      </c>
      <c r="P161" s="93" t="s">
        <v>1903</v>
      </c>
      <c r="Q161" s="94" t="s">
        <v>516</v>
      </c>
      <c r="R161" s="92" t="s">
        <v>1885</v>
      </c>
      <c r="S161" s="92" t="s">
        <v>29</v>
      </c>
      <c r="T161" s="92">
        <v>5</v>
      </c>
      <c r="U161" s="116" t="s">
        <v>29</v>
      </c>
    </row>
    <row r="162" spans="1:21" ht="13.2" x14ac:dyDescent="0.25">
      <c r="A162" s="67" t="s">
        <v>923</v>
      </c>
      <c r="B162" s="108"/>
      <c r="C162" s="92">
        <v>2</v>
      </c>
      <c r="D162" s="93" t="s">
        <v>1904</v>
      </c>
      <c r="E162" s="97" t="s">
        <v>514</v>
      </c>
      <c r="F162" s="92" t="s">
        <v>1885</v>
      </c>
      <c r="G162" s="92" t="s">
        <v>29</v>
      </c>
      <c r="H162" s="92">
        <v>3</v>
      </c>
      <c r="I162" s="116" t="s">
        <v>29</v>
      </c>
      <c r="J162" s="89"/>
      <c r="K162" s="89"/>
      <c r="L162" s="89"/>
      <c r="M162" s="96" t="s">
        <v>925</v>
      </c>
      <c r="N162" s="108"/>
      <c r="O162" s="92">
        <v>2</v>
      </c>
      <c r="P162" s="93" t="s">
        <v>1905</v>
      </c>
      <c r="Q162" s="97" t="s">
        <v>46</v>
      </c>
      <c r="R162" s="92" t="s">
        <v>1884</v>
      </c>
      <c r="S162" s="92">
        <v>3</v>
      </c>
      <c r="T162" s="92" t="s">
        <v>29</v>
      </c>
      <c r="U162" s="116" t="s">
        <v>29</v>
      </c>
    </row>
    <row r="163" spans="1:21" ht="13.2" x14ac:dyDescent="0.25">
      <c r="A163" s="67" t="s">
        <v>923</v>
      </c>
      <c r="B163" s="108"/>
      <c r="C163" s="92">
        <v>3</v>
      </c>
      <c r="D163" s="93" t="s">
        <v>1906</v>
      </c>
      <c r="E163" s="97" t="s">
        <v>513</v>
      </c>
      <c r="F163" s="92" t="s">
        <v>1885</v>
      </c>
      <c r="G163" s="92" t="s">
        <v>29</v>
      </c>
      <c r="H163" s="92">
        <v>1</v>
      </c>
      <c r="I163" s="116" t="s">
        <v>29</v>
      </c>
      <c r="J163" s="89"/>
      <c r="K163" s="89"/>
      <c r="L163" s="89"/>
      <c r="M163" s="96" t="s">
        <v>925</v>
      </c>
      <c r="N163" s="108"/>
      <c r="O163" s="92">
        <v>3</v>
      </c>
      <c r="P163" s="93" t="s">
        <v>1907</v>
      </c>
      <c r="Q163" s="97" t="s">
        <v>45</v>
      </c>
      <c r="R163" s="92" t="s">
        <v>1884</v>
      </c>
      <c r="S163" s="92">
        <v>1</v>
      </c>
      <c r="T163" s="92" t="s">
        <v>29</v>
      </c>
      <c r="U163" s="116" t="s">
        <v>29</v>
      </c>
    </row>
    <row r="164" spans="1:21" ht="13.2" x14ac:dyDescent="0.25">
      <c r="A164" s="67" t="s">
        <v>29</v>
      </c>
      <c r="B164" s="108"/>
      <c r="C164" s="92" t="s">
        <v>29</v>
      </c>
      <c r="D164" s="93" t="s">
        <v>29</v>
      </c>
      <c r="E164" s="97" t="s">
        <v>29</v>
      </c>
      <c r="F164" s="92" t="s">
        <v>29</v>
      </c>
      <c r="G164" s="92" t="s">
        <v>29</v>
      </c>
      <c r="H164" s="92" t="s">
        <v>29</v>
      </c>
      <c r="I164" s="116" t="s">
        <v>29</v>
      </c>
      <c r="J164" s="89"/>
      <c r="K164" s="89"/>
      <c r="L164" s="89"/>
      <c r="M164" s="96" t="s">
        <v>925</v>
      </c>
      <c r="N164" s="108"/>
      <c r="O164" s="92">
        <v>4</v>
      </c>
      <c r="P164" s="93" t="s">
        <v>1908</v>
      </c>
      <c r="Q164" s="97" t="s">
        <v>343</v>
      </c>
      <c r="R164" s="92" t="s">
        <v>1885</v>
      </c>
      <c r="S164" s="92" t="s">
        <v>29</v>
      </c>
      <c r="T164" s="92" t="s">
        <v>29</v>
      </c>
      <c r="U164" s="116" t="s">
        <v>29</v>
      </c>
    </row>
    <row r="165" spans="1:21" ht="13.2" x14ac:dyDescent="0.25">
      <c r="A165" s="67" t="s">
        <v>29</v>
      </c>
      <c r="B165" s="108"/>
      <c r="C165" s="92" t="s">
        <v>29</v>
      </c>
      <c r="D165" s="93" t="s">
        <v>29</v>
      </c>
      <c r="E165" s="97" t="s">
        <v>29</v>
      </c>
      <c r="F165" s="92" t="s">
        <v>29</v>
      </c>
      <c r="G165" s="92" t="s">
        <v>29</v>
      </c>
      <c r="H165" s="92" t="s">
        <v>29</v>
      </c>
      <c r="I165" s="116" t="s">
        <v>29</v>
      </c>
      <c r="J165" s="89"/>
      <c r="K165" s="89"/>
      <c r="L165" s="89"/>
      <c r="M165" s="96" t="s">
        <v>29</v>
      </c>
      <c r="N165" s="108"/>
      <c r="O165" s="92" t="s">
        <v>29</v>
      </c>
      <c r="P165" s="93" t="s">
        <v>29</v>
      </c>
      <c r="Q165" s="97" t="s">
        <v>29</v>
      </c>
      <c r="R165" s="92" t="s">
        <v>29</v>
      </c>
      <c r="S165" s="92" t="s">
        <v>29</v>
      </c>
      <c r="T165" s="92" t="s">
        <v>29</v>
      </c>
      <c r="U165" s="116" t="s">
        <v>29</v>
      </c>
    </row>
    <row r="166" spans="1:21" ht="13.2" x14ac:dyDescent="0.25">
      <c r="A166" s="67" t="s">
        <v>29</v>
      </c>
      <c r="B166" s="108"/>
      <c r="C166" s="92" t="s">
        <v>29</v>
      </c>
      <c r="D166" s="93" t="s">
        <v>29</v>
      </c>
      <c r="E166" s="97" t="s">
        <v>29</v>
      </c>
      <c r="F166" s="92" t="s">
        <v>29</v>
      </c>
      <c r="G166" s="92" t="s">
        <v>29</v>
      </c>
      <c r="H166" s="92" t="s">
        <v>29</v>
      </c>
      <c r="I166" s="116" t="s">
        <v>29</v>
      </c>
      <c r="J166" s="89"/>
      <c r="K166" s="89"/>
      <c r="L166" s="89"/>
      <c r="M166" s="96" t="s">
        <v>29</v>
      </c>
      <c r="N166" s="108"/>
      <c r="O166" s="92" t="s">
        <v>29</v>
      </c>
      <c r="P166" s="93" t="s">
        <v>29</v>
      </c>
      <c r="Q166" s="97" t="s">
        <v>29</v>
      </c>
      <c r="R166" s="92" t="s">
        <v>29</v>
      </c>
      <c r="S166" s="92" t="s">
        <v>29</v>
      </c>
      <c r="T166" s="92" t="s">
        <v>29</v>
      </c>
      <c r="U166" s="116" t="s">
        <v>29</v>
      </c>
    </row>
    <row r="167" spans="1:21" ht="13.2" x14ac:dyDescent="0.25">
      <c r="A167" s="67" t="s">
        <v>29</v>
      </c>
      <c r="B167" s="108"/>
      <c r="C167" s="92" t="s">
        <v>29</v>
      </c>
      <c r="D167" s="93" t="s">
        <v>29</v>
      </c>
      <c r="E167" s="97" t="s">
        <v>29</v>
      </c>
      <c r="F167" s="92" t="s">
        <v>29</v>
      </c>
      <c r="G167" s="92" t="s">
        <v>29</v>
      </c>
      <c r="H167" s="92" t="s">
        <v>29</v>
      </c>
      <c r="I167" s="116" t="s">
        <v>29</v>
      </c>
      <c r="J167" s="89"/>
      <c r="K167" s="89"/>
      <c r="L167" s="89"/>
      <c r="M167" s="96" t="s">
        <v>29</v>
      </c>
      <c r="N167" s="108"/>
      <c r="O167" s="92" t="s">
        <v>29</v>
      </c>
      <c r="P167" s="93" t="s">
        <v>29</v>
      </c>
      <c r="Q167" s="97" t="s">
        <v>29</v>
      </c>
      <c r="R167" s="92" t="s">
        <v>29</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20"/>
      <c r="E176" s="220"/>
      <c r="F176" s="222"/>
      <c r="G176" s="99">
        <v>0</v>
      </c>
      <c r="H176" s="99">
        <v>9</v>
      </c>
      <c r="I176" s="116" t="s">
        <v>29</v>
      </c>
      <c r="J176" s="89"/>
      <c r="K176" s="89"/>
      <c r="L176" s="89"/>
      <c r="M176" s="96" t="s">
        <v>29</v>
      </c>
      <c r="N176" s="108"/>
      <c r="O176" s="219" t="s">
        <v>972</v>
      </c>
      <c r="P176" s="220"/>
      <c r="Q176" s="220"/>
      <c r="R176" s="222"/>
      <c r="S176" s="99">
        <v>4</v>
      </c>
      <c r="T176" s="99">
        <v>5</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1909</v>
      </c>
      <c r="E180" s="94" t="s">
        <v>512</v>
      </c>
      <c r="F180" s="92" t="s">
        <v>1885</v>
      </c>
      <c r="G180" s="92" t="s">
        <v>29</v>
      </c>
      <c r="H180" s="92">
        <v>5</v>
      </c>
      <c r="I180" s="115" t="s">
        <v>29</v>
      </c>
      <c r="J180" s="89"/>
      <c r="K180" s="89"/>
      <c r="L180" s="89"/>
      <c r="M180" s="96" t="s">
        <v>929</v>
      </c>
      <c r="N180" s="84"/>
      <c r="O180" s="92">
        <v>1</v>
      </c>
      <c r="P180" s="93" t="s">
        <v>1910</v>
      </c>
      <c r="Q180" s="94" t="s">
        <v>44</v>
      </c>
      <c r="R180" s="92" t="s">
        <v>1884</v>
      </c>
      <c r="S180" s="92">
        <v>5</v>
      </c>
      <c r="T180" s="92" t="s">
        <v>29</v>
      </c>
      <c r="U180" s="115" t="s">
        <v>29</v>
      </c>
    </row>
    <row r="181" spans="1:21" ht="26.4" x14ac:dyDescent="0.25">
      <c r="A181" s="67" t="s">
        <v>927</v>
      </c>
      <c r="B181" s="84"/>
      <c r="C181" s="92">
        <v>2</v>
      </c>
      <c r="D181" s="93" t="s">
        <v>1911</v>
      </c>
      <c r="E181" s="97" t="s">
        <v>43</v>
      </c>
      <c r="F181" s="92" t="s">
        <v>1884</v>
      </c>
      <c r="G181" s="92">
        <v>3</v>
      </c>
      <c r="H181" s="92" t="s">
        <v>29</v>
      </c>
      <c r="I181" s="115" t="s">
        <v>29</v>
      </c>
      <c r="J181" s="89"/>
      <c r="K181" s="89"/>
      <c r="L181" s="89"/>
      <c r="M181" s="96" t="s">
        <v>29</v>
      </c>
      <c r="N181" s="84"/>
      <c r="O181" s="92" t="s">
        <v>29</v>
      </c>
      <c r="P181" s="93" t="s">
        <v>29</v>
      </c>
      <c r="Q181" s="97" t="s">
        <v>29</v>
      </c>
      <c r="R181" s="92" t="s">
        <v>29</v>
      </c>
      <c r="S181" s="92" t="s">
        <v>29</v>
      </c>
      <c r="T181" s="92" t="s">
        <v>29</v>
      </c>
      <c r="U181" s="115" t="s">
        <v>29</v>
      </c>
    </row>
    <row r="182" spans="1:21" ht="13.2" x14ac:dyDescent="0.25">
      <c r="A182" s="67" t="s">
        <v>29</v>
      </c>
      <c r="B182" s="84"/>
      <c r="C182" s="92" t="s">
        <v>29</v>
      </c>
      <c r="D182" s="93" t="s">
        <v>29</v>
      </c>
      <c r="E182" s="97" t="s">
        <v>29</v>
      </c>
      <c r="F182" s="92" t="s">
        <v>29</v>
      </c>
      <c r="G182" s="92" t="s">
        <v>29</v>
      </c>
      <c r="H182" s="92" t="s">
        <v>29</v>
      </c>
      <c r="I182" s="115" t="s">
        <v>29</v>
      </c>
      <c r="J182" s="89"/>
      <c r="K182" s="89"/>
      <c r="L182" s="89"/>
      <c r="M182" s="96" t="s">
        <v>29</v>
      </c>
      <c r="N182" s="84"/>
      <c r="O182" s="92" t="s">
        <v>29</v>
      </c>
      <c r="P182" s="93" t="s">
        <v>29</v>
      </c>
      <c r="Q182" s="97" t="s">
        <v>29</v>
      </c>
      <c r="R182" s="92" t="s">
        <v>29</v>
      </c>
      <c r="S182" s="92" t="s">
        <v>29</v>
      </c>
      <c r="T182" s="92" t="s">
        <v>29</v>
      </c>
      <c r="U182" s="115" t="s">
        <v>29</v>
      </c>
    </row>
    <row r="183" spans="1:21" ht="13.2" x14ac:dyDescent="0.25">
      <c r="A183" s="67" t="s">
        <v>29</v>
      </c>
      <c r="B183" s="84"/>
      <c r="C183" s="92" t="s">
        <v>29</v>
      </c>
      <c r="D183" s="93" t="s">
        <v>29</v>
      </c>
      <c r="E183" s="97" t="s">
        <v>29</v>
      </c>
      <c r="F183" s="92" t="s">
        <v>29</v>
      </c>
      <c r="G183" s="92" t="s">
        <v>29</v>
      </c>
      <c r="H183" s="92" t="s">
        <v>29</v>
      </c>
      <c r="I183" s="115" t="s">
        <v>29</v>
      </c>
      <c r="J183" s="89"/>
      <c r="K183" s="89"/>
      <c r="L183" s="89"/>
      <c r="M183" s="96" t="s">
        <v>29</v>
      </c>
      <c r="N183" s="84"/>
      <c r="O183" s="92" t="s">
        <v>29</v>
      </c>
      <c r="P183" s="93" t="s">
        <v>29</v>
      </c>
      <c r="Q183" s="97" t="s">
        <v>29</v>
      </c>
      <c r="R183" s="92" t="s">
        <v>29</v>
      </c>
      <c r="S183" s="92" t="s">
        <v>29</v>
      </c>
      <c r="T183" s="92" t="s">
        <v>29</v>
      </c>
      <c r="U183" s="115" t="s">
        <v>29</v>
      </c>
    </row>
    <row r="184" spans="1:21" ht="13.2" x14ac:dyDescent="0.25">
      <c r="A184" s="67" t="s">
        <v>29</v>
      </c>
      <c r="B184" s="84"/>
      <c r="C184" s="92" t="s">
        <v>29</v>
      </c>
      <c r="D184" s="93" t="s">
        <v>29</v>
      </c>
      <c r="E184" s="97" t="s">
        <v>29</v>
      </c>
      <c r="F184" s="92" t="s">
        <v>29</v>
      </c>
      <c r="G184" s="92" t="s">
        <v>29</v>
      </c>
      <c r="H184" s="92" t="s">
        <v>29</v>
      </c>
      <c r="I184" s="115" t="s">
        <v>29</v>
      </c>
      <c r="J184" s="89"/>
      <c r="K184" s="89"/>
      <c r="L184" s="89"/>
      <c r="M184" s="96" t="s">
        <v>29</v>
      </c>
      <c r="N184" s="84"/>
      <c r="O184" s="92" t="s">
        <v>29</v>
      </c>
      <c r="P184" s="93" t="s">
        <v>29</v>
      </c>
      <c r="Q184" s="97" t="s">
        <v>29</v>
      </c>
      <c r="R184" s="92" t="s">
        <v>29</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84"/>
      <c r="C187" s="92" t="s">
        <v>29</v>
      </c>
      <c r="D187" s="93" t="s">
        <v>29</v>
      </c>
      <c r="E187" s="97" t="s">
        <v>29</v>
      </c>
      <c r="F187" s="92" t="s">
        <v>29</v>
      </c>
      <c r="G187" s="92" t="s">
        <v>29</v>
      </c>
      <c r="H187" s="92" t="s">
        <v>29</v>
      </c>
      <c r="I187" s="115" t="s">
        <v>29</v>
      </c>
      <c r="J187" s="89"/>
      <c r="K187" s="89"/>
      <c r="L187" s="89"/>
      <c r="M187" s="96" t="s">
        <v>29</v>
      </c>
      <c r="N187" s="84"/>
      <c r="O187" s="92" t="s">
        <v>29</v>
      </c>
      <c r="P187" s="93" t="s">
        <v>29</v>
      </c>
      <c r="Q187" s="97" t="s">
        <v>29</v>
      </c>
      <c r="R187" s="92" t="s">
        <v>29</v>
      </c>
      <c r="S187" s="92" t="s">
        <v>29</v>
      </c>
      <c r="T187" s="92" t="s">
        <v>29</v>
      </c>
      <c r="U187" s="115" t="s">
        <v>29</v>
      </c>
    </row>
    <row r="188" spans="1:21" ht="13.2" x14ac:dyDescent="0.25">
      <c r="A188" s="67" t="s">
        <v>29</v>
      </c>
      <c r="B188" s="84"/>
      <c r="C188" s="92" t="s">
        <v>29</v>
      </c>
      <c r="D188" s="93" t="s">
        <v>29</v>
      </c>
      <c r="E188" s="97" t="s">
        <v>29</v>
      </c>
      <c r="F188" s="92" t="s">
        <v>29</v>
      </c>
      <c r="G188" s="92" t="s">
        <v>29</v>
      </c>
      <c r="H188" s="92" t="s">
        <v>29</v>
      </c>
      <c r="I188" s="115" t="s">
        <v>29</v>
      </c>
      <c r="J188" s="89"/>
      <c r="K188" s="89"/>
      <c r="L188" s="89"/>
      <c r="M188" s="96" t="s">
        <v>29</v>
      </c>
      <c r="N188" s="84"/>
      <c r="O188" s="92" t="s">
        <v>29</v>
      </c>
      <c r="P188" s="93" t="s">
        <v>29</v>
      </c>
      <c r="Q188" s="97" t="s">
        <v>29</v>
      </c>
      <c r="R188" s="92" t="s">
        <v>29</v>
      </c>
      <c r="S188" s="92" t="s">
        <v>29</v>
      </c>
      <c r="T188" s="92" t="s">
        <v>29</v>
      </c>
      <c r="U188" s="115" t="s">
        <v>29</v>
      </c>
    </row>
    <row r="189" spans="1:21" ht="13.2" x14ac:dyDescent="0.25">
      <c r="A189" s="67"/>
      <c r="B189" s="84"/>
      <c r="C189" s="92" t="s">
        <v>29</v>
      </c>
      <c r="D189" s="93" t="s">
        <v>29</v>
      </c>
      <c r="E189" s="97" t="s">
        <v>29</v>
      </c>
      <c r="F189" s="92" t="s">
        <v>29</v>
      </c>
      <c r="G189" s="92" t="s">
        <v>29</v>
      </c>
      <c r="H189" s="92" t="s">
        <v>29</v>
      </c>
      <c r="I189" s="115" t="s">
        <v>29</v>
      </c>
      <c r="J189" s="89"/>
      <c r="K189" s="89"/>
      <c r="L189" s="89"/>
      <c r="M189" s="96"/>
      <c r="N189" s="84"/>
      <c r="O189" s="92" t="s">
        <v>29</v>
      </c>
      <c r="P189" s="93" t="s">
        <v>29</v>
      </c>
      <c r="Q189" s="97" t="s">
        <v>29</v>
      </c>
      <c r="R189" s="92" t="s">
        <v>29</v>
      </c>
      <c r="S189" s="92" t="s">
        <v>29</v>
      </c>
      <c r="T189" s="92" t="s">
        <v>29</v>
      </c>
      <c r="U189" s="115" t="s">
        <v>29</v>
      </c>
    </row>
    <row r="190" spans="1:21" ht="13.2" x14ac:dyDescent="0.25">
      <c r="A190" s="67"/>
      <c r="B190" s="84"/>
      <c r="C190" s="92" t="s">
        <v>29</v>
      </c>
      <c r="D190" s="93" t="s">
        <v>29</v>
      </c>
      <c r="E190" s="97" t="s">
        <v>29</v>
      </c>
      <c r="F190" s="92" t="s">
        <v>29</v>
      </c>
      <c r="G190" s="92" t="s">
        <v>29</v>
      </c>
      <c r="H190" s="92" t="s">
        <v>29</v>
      </c>
      <c r="I190" s="115" t="s">
        <v>29</v>
      </c>
      <c r="J190" s="89"/>
      <c r="K190" s="89"/>
      <c r="L190" s="89"/>
      <c r="M190" s="96"/>
      <c r="N190" s="84"/>
      <c r="O190" s="92" t="s">
        <v>29</v>
      </c>
      <c r="P190" s="93" t="s">
        <v>29</v>
      </c>
      <c r="Q190" s="97" t="s">
        <v>29</v>
      </c>
      <c r="R190" s="92" t="s">
        <v>29</v>
      </c>
      <c r="S190" s="92" t="s">
        <v>29</v>
      </c>
      <c r="T190" s="92" t="s">
        <v>29</v>
      </c>
      <c r="U190" s="115" t="s">
        <v>29</v>
      </c>
    </row>
    <row r="191" spans="1:21" ht="13.2" x14ac:dyDescent="0.25">
      <c r="A191" s="67"/>
      <c r="B191" s="84"/>
      <c r="C191" s="92" t="s">
        <v>29</v>
      </c>
      <c r="D191" s="93" t="s">
        <v>29</v>
      </c>
      <c r="E191" s="97" t="s">
        <v>29</v>
      </c>
      <c r="F191" s="92" t="s">
        <v>29</v>
      </c>
      <c r="G191" s="92" t="s">
        <v>29</v>
      </c>
      <c r="H191" s="92" t="s">
        <v>29</v>
      </c>
      <c r="I191" s="115" t="s">
        <v>29</v>
      </c>
      <c r="J191" s="89"/>
      <c r="K191" s="89"/>
      <c r="L191" s="89"/>
      <c r="M191" s="96"/>
      <c r="N191" s="84"/>
      <c r="O191" s="92" t="s">
        <v>29</v>
      </c>
      <c r="P191" s="93"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20"/>
      <c r="E195" s="220"/>
      <c r="F195" s="220"/>
      <c r="G195" s="99">
        <v>3</v>
      </c>
      <c r="H195" s="99">
        <v>5</v>
      </c>
      <c r="I195" s="115" t="s">
        <v>29</v>
      </c>
      <c r="J195" s="89"/>
      <c r="K195" s="89"/>
      <c r="L195" s="89"/>
      <c r="M195" s="96" t="s">
        <v>29</v>
      </c>
      <c r="N195" s="84"/>
      <c r="O195" s="219" t="s">
        <v>985</v>
      </c>
      <c r="P195" s="220"/>
      <c r="Q195" s="220"/>
      <c r="R195" s="220"/>
      <c r="S195" s="99">
        <v>5</v>
      </c>
      <c r="T195" s="99">
        <v>0</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931</v>
      </c>
      <c r="B199" s="108"/>
      <c r="C199" s="92">
        <v>1</v>
      </c>
      <c r="D199" s="93" t="s">
        <v>1912</v>
      </c>
      <c r="E199" s="94" t="s">
        <v>517</v>
      </c>
      <c r="F199" s="92" t="s">
        <v>1885</v>
      </c>
      <c r="G199" s="92" t="s">
        <v>29</v>
      </c>
      <c r="H199" s="92">
        <v>5</v>
      </c>
      <c r="I199" s="116" t="s">
        <v>29</v>
      </c>
      <c r="J199" s="89"/>
      <c r="K199" s="89"/>
      <c r="L199" s="89"/>
      <c r="M199" s="96" t="s">
        <v>933</v>
      </c>
      <c r="N199" s="108"/>
      <c r="O199" s="92">
        <v>1</v>
      </c>
      <c r="P199" s="93" t="s">
        <v>1913</v>
      </c>
      <c r="Q199" s="94" t="s">
        <v>47</v>
      </c>
      <c r="R199" s="92" t="s">
        <v>1884</v>
      </c>
      <c r="S199" s="92">
        <v>5</v>
      </c>
      <c r="T199" s="92" t="s">
        <v>29</v>
      </c>
      <c r="U199" s="116" t="s">
        <v>29</v>
      </c>
    </row>
    <row r="200" spans="1:21" ht="13.2" x14ac:dyDescent="0.25">
      <c r="A200" s="67" t="s">
        <v>29</v>
      </c>
      <c r="B200" s="108"/>
      <c r="C200" s="92" t="s">
        <v>29</v>
      </c>
      <c r="D200" s="93" t="s">
        <v>29</v>
      </c>
      <c r="E200" s="97" t="s">
        <v>29</v>
      </c>
      <c r="F200" s="92" t="s">
        <v>29</v>
      </c>
      <c r="G200" s="92" t="s">
        <v>29</v>
      </c>
      <c r="H200" s="92" t="s">
        <v>29</v>
      </c>
      <c r="I200" s="116" t="s">
        <v>29</v>
      </c>
      <c r="J200" s="89"/>
      <c r="K200" s="89"/>
      <c r="L200" s="89"/>
      <c r="M200" s="96" t="s">
        <v>933</v>
      </c>
      <c r="N200" s="108"/>
      <c r="O200" s="92">
        <v>2</v>
      </c>
      <c r="P200" s="93" t="s">
        <v>1914</v>
      </c>
      <c r="Q200" s="97" t="s">
        <v>518</v>
      </c>
      <c r="R200" s="92" t="s">
        <v>1885</v>
      </c>
      <c r="S200" s="92" t="s">
        <v>29</v>
      </c>
      <c r="T200" s="92">
        <v>3</v>
      </c>
      <c r="U200" s="116" t="s">
        <v>29</v>
      </c>
    </row>
    <row r="201" spans="1:21" ht="13.2" x14ac:dyDescent="0.25">
      <c r="A201" s="67" t="s">
        <v>29</v>
      </c>
      <c r="B201" s="108"/>
      <c r="C201" s="92" t="s">
        <v>29</v>
      </c>
      <c r="D201" s="93" t="s">
        <v>29</v>
      </c>
      <c r="E201" s="97" t="s">
        <v>29</v>
      </c>
      <c r="F201" s="92" t="s">
        <v>29</v>
      </c>
      <c r="G201" s="92" t="s">
        <v>29</v>
      </c>
      <c r="H201" s="92" t="s">
        <v>29</v>
      </c>
      <c r="I201" s="116" t="s">
        <v>29</v>
      </c>
      <c r="J201" s="89"/>
      <c r="K201" s="89"/>
      <c r="L201" s="89"/>
      <c r="M201" s="96" t="s">
        <v>29</v>
      </c>
      <c r="N201" s="108"/>
      <c r="O201" s="92" t="s">
        <v>29</v>
      </c>
      <c r="P201" s="93" t="s">
        <v>29</v>
      </c>
      <c r="Q201" s="97" t="s">
        <v>29</v>
      </c>
      <c r="R201" s="92" t="s">
        <v>29</v>
      </c>
      <c r="S201" s="92" t="s">
        <v>29</v>
      </c>
      <c r="T201" s="92" t="s">
        <v>29</v>
      </c>
      <c r="U201" s="116" t="s">
        <v>29</v>
      </c>
    </row>
    <row r="202" spans="1:21" ht="13.2" x14ac:dyDescent="0.25">
      <c r="A202" s="67" t="s">
        <v>29</v>
      </c>
      <c r="B202" s="108"/>
      <c r="C202" s="92" t="s">
        <v>29</v>
      </c>
      <c r="D202" s="93" t="s">
        <v>29</v>
      </c>
      <c r="E202" s="97" t="s">
        <v>29</v>
      </c>
      <c r="F202" s="92" t="s">
        <v>29</v>
      </c>
      <c r="G202" s="92" t="s">
        <v>29</v>
      </c>
      <c r="H202" s="92" t="s">
        <v>29</v>
      </c>
      <c r="I202" s="116" t="s">
        <v>29</v>
      </c>
      <c r="J202" s="89"/>
      <c r="K202" s="89"/>
      <c r="L202" s="89"/>
      <c r="M202" s="96" t="s">
        <v>29</v>
      </c>
      <c r="N202" s="108"/>
      <c r="O202" s="92" t="s">
        <v>29</v>
      </c>
      <c r="P202" s="93" t="s">
        <v>29</v>
      </c>
      <c r="Q202" s="97" t="s">
        <v>29</v>
      </c>
      <c r="R202" s="92" t="s">
        <v>29</v>
      </c>
      <c r="S202" s="92" t="s">
        <v>29</v>
      </c>
      <c r="T202" s="92" t="s">
        <v>29</v>
      </c>
      <c r="U202" s="116" t="s">
        <v>29</v>
      </c>
    </row>
    <row r="203" spans="1:21" ht="13.2" x14ac:dyDescent="0.25">
      <c r="A203" s="67" t="s">
        <v>29</v>
      </c>
      <c r="B203" s="108"/>
      <c r="C203" s="92" t="s">
        <v>29</v>
      </c>
      <c r="D203" s="93" t="s">
        <v>29</v>
      </c>
      <c r="E203" s="97" t="s">
        <v>29</v>
      </c>
      <c r="F203" s="92" t="s">
        <v>29</v>
      </c>
      <c r="G203" s="92" t="s">
        <v>29</v>
      </c>
      <c r="H203" s="92" t="s">
        <v>29</v>
      </c>
      <c r="I203" s="116" t="s">
        <v>29</v>
      </c>
      <c r="J203" s="89"/>
      <c r="K203" s="89"/>
      <c r="L203" s="89"/>
      <c r="M203" s="96" t="s">
        <v>29</v>
      </c>
      <c r="N203" s="108"/>
      <c r="O203" s="92" t="s">
        <v>29</v>
      </c>
      <c r="P203" s="93" t="s">
        <v>29</v>
      </c>
      <c r="Q203" s="97" t="s">
        <v>29</v>
      </c>
      <c r="R203" s="92" t="s">
        <v>29</v>
      </c>
      <c r="S203" s="92" t="s">
        <v>29</v>
      </c>
      <c r="T203" s="92" t="s">
        <v>29</v>
      </c>
      <c r="U203" s="116" t="s">
        <v>29</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20"/>
      <c r="E214" s="220"/>
      <c r="F214" s="220"/>
      <c r="G214" s="99">
        <v>0</v>
      </c>
      <c r="H214" s="99">
        <v>5</v>
      </c>
      <c r="I214" s="116" t="s">
        <v>29</v>
      </c>
      <c r="J214" s="89"/>
      <c r="K214" s="89"/>
      <c r="L214" s="89"/>
      <c r="M214" s="96" t="s">
        <v>29</v>
      </c>
      <c r="N214" s="108"/>
      <c r="O214" s="219" t="s">
        <v>996</v>
      </c>
      <c r="P214" s="220"/>
      <c r="Q214" s="220"/>
      <c r="R214" s="220"/>
      <c r="S214" s="99">
        <v>5</v>
      </c>
      <c r="T214" s="99">
        <v>3</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1915</v>
      </c>
      <c r="R216" s="220"/>
      <c r="S216" s="220"/>
      <c r="T216" s="222"/>
      <c r="U216" s="66" t="s">
        <v>29</v>
      </c>
    </row>
    <row r="217" spans="1:21" ht="13.2" x14ac:dyDescent="0.25">
      <c r="A217" s="67"/>
      <c r="B217" s="66"/>
      <c r="C217" s="245" t="s">
        <v>1916</v>
      </c>
      <c r="D217" s="227"/>
      <c r="E217" s="227"/>
      <c r="F217" s="227"/>
      <c r="G217" s="227"/>
      <c r="H217" s="228"/>
      <c r="I217" s="89" t="s">
        <v>29</v>
      </c>
      <c r="J217" s="89"/>
      <c r="K217" s="89"/>
      <c r="L217" s="89"/>
      <c r="M217" s="96"/>
      <c r="N217" s="119"/>
      <c r="O217" s="120" t="s">
        <v>1001</v>
      </c>
      <c r="P217" s="121"/>
      <c r="Q217" s="221" t="s">
        <v>1917</v>
      </c>
      <c r="R217" s="220"/>
      <c r="S217" s="220"/>
      <c r="T217" s="222"/>
      <c r="U217" s="66" t="s">
        <v>29</v>
      </c>
    </row>
    <row r="218" spans="1:21" ht="13.2" x14ac:dyDescent="0.25">
      <c r="A218" s="67"/>
      <c r="B218" s="66"/>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B219" s="66"/>
      <c r="C219" s="118" t="s">
        <v>1003</v>
      </c>
      <c r="D219" s="122"/>
      <c r="E219" s="225" t="s">
        <v>1917</v>
      </c>
      <c r="F219" s="220"/>
      <c r="G219" s="220"/>
      <c r="H219" s="222"/>
      <c r="I219" s="89" t="s">
        <v>29</v>
      </c>
      <c r="J219" s="89"/>
      <c r="K219" s="89"/>
      <c r="L219" s="89"/>
      <c r="M219" s="96"/>
      <c r="N219" s="119"/>
      <c r="O219" s="118" t="s">
        <v>1004</v>
      </c>
      <c r="P219" s="122"/>
      <c r="Q219" s="225" t="s">
        <v>1918</v>
      </c>
      <c r="R219" s="220"/>
      <c r="S219" s="220"/>
      <c r="T219" s="222"/>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27"/>
      <c r="E221" s="227"/>
      <c r="F221" s="227"/>
      <c r="G221" s="227"/>
      <c r="H221" s="228"/>
      <c r="I221" s="66" t="s">
        <v>29</v>
      </c>
      <c r="J221" s="66"/>
      <c r="K221" s="66"/>
      <c r="L221" s="66"/>
      <c r="M221" s="74"/>
      <c r="N221" s="123"/>
      <c r="O221" s="240"/>
      <c r="P221" s="227"/>
      <c r="Q221" s="227"/>
      <c r="R221" s="227"/>
      <c r="S221" s="227"/>
      <c r="T221" s="228"/>
      <c r="U221" s="66" t="s">
        <v>29</v>
      </c>
    </row>
    <row r="222" spans="1:21" ht="13.2" x14ac:dyDescent="0.25">
      <c r="A222" s="67"/>
      <c r="B222" s="66"/>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B223" s="66"/>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B224" s="66"/>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220"/>
      <c r="E229" s="271" t="s">
        <v>902</v>
      </c>
      <c r="F229" s="220"/>
      <c r="G229" s="222"/>
      <c r="H229" s="150" t="s">
        <v>1919</v>
      </c>
      <c r="I229" s="151" t="s">
        <v>29</v>
      </c>
      <c r="J229" s="152"/>
      <c r="K229" s="152"/>
      <c r="L229" s="152"/>
      <c r="M229" s="153"/>
      <c r="N229" s="64"/>
      <c r="O229" s="236" t="s">
        <v>860</v>
      </c>
      <c r="P229" s="220"/>
      <c r="Q229" s="261" t="s">
        <v>903</v>
      </c>
      <c r="R229" s="220"/>
      <c r="S229" s="222"/>
      <c r="T229" s="154" t="s">
        <v>1920</v>
      </c>
      <c r="U229" s="155" t="s">
        <v>29</v>
      </c>
    </row>
    <row r="230" spans="1:21" ht="17.399999999999999" x14ac:dyDescent="0.25">
      <c r="A230" s="67"/>
      <c r="B230" s="156"/>
      <c r="C230" s="265" t="s">
        <v>2</v>
      </c>
      <c r="D230" s="222"/>
      <c r="E230" s="266">
        <v>36</v>
      </c>
      <c r="F230" s="220"/>
      <c r="G230" s="220"/>
      <c r="H230" s="157"/>
      <c r="I230" s="151" t="s">
        <v>29</v>
      </c>
      <c r="J230" s="158"/>
      <c r="K230" s="158"/>
      <c r="L230" s="158"/>
      <c r="M230" s="159"/>
      <c r="N230" s="64"/>
      <c r="O230" s="262" t="s">
        <v>2</v>
      </c>
      <c r="P230" s="222"/>
      <c r="Q230" s="263">
        <v>35</v>
      </c>
      <c r="R230" s="220"/>
      <c r="S230" s="220"/>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8"/>
      <c r="E232" s="68"/>
      <c r="F232" s="68"/>
      <c r="G232" s="72" t="s">
        <v>917</v>
      </c>
      <c r="H232" s="73" t="s">
        <v>918</v>
      </c>
      <c r="I232" s="66" t="s">
        <v>29</v>
      </c>
      <c r="J232" s="66"/>
      <c r="K232" s="66"/>
      <c r="L232" s="66"/>
      <c r="M232" s="74"/>
      <c r="N232" s="66"/>
      <c r="O232" s="68"/>
      <c r="P232" s="68"/>
      <c r="Q232" s="68"/>
      <c r="R232" s="68"/>
      <c r="S232" s="72" t="s">
        <v>917</v>
      </c>
      <c r="T232" s="73" t="s">
        <v>918</v>
      </c>
      <c r="U232" s="66" t="s">
        <v>29</v>
      </c>
    </row>
    <row r="233" spans="1:21" ht="13.2" x14ac:dyDescent="0.25">
      <c r="A233" s="67"/>
      <c r="B233" s="66"/>
      <c r="C233" s="68" t="s">
        <v>919</v>
      </c>
      <c r="D233" s="161" t="s">
        <v>920</v>
      </c>
      <c r="E233" s="68"/>
      <c r="F233" s="68"/>
      <c r="G233" s="78">
        <v>8</v>
      </c>
      <c r="H233" s="79">
        <v>1</v>
      </c>
      <c r="I233" s="66" t="s">
        <v>29</v>
      </c>
      <c r="J233" s="66"/>
      <c r="K233" s="66"/>
      <c r="L233" s="66"/>
      <c r="M233" s="74"/>
      <c r="N233" s="66"/>
      <c r="O233" s="68" t="s">
        <v>921</v>
      </c>
      <c r="P233" s="161" t="s">
        <v>922</v>
      </c>
      <c r="Q233" s="68"/>
      <c r="R233" s="68"/>
      <c r="S233" s="78">
        <v>3</v>
      </c>
      <c r="T233" s="79">
        <v>6</v>
      </c>
      <c r="U233" s="66" t="s">
        <v>29</v>
      </c>
    </row>
    <row r="234" spans="1:21" ht="13.2" x14ac:dyDescent="0.25">
      <c r="A234" s="67"/>
      <c r="B234" s="66"/>
      <c r="C234" s="68" t="s">
        <v>923</v>
      </c>
      <c r="D234" s="161" t="s">
        <v>924</v>
      </c>
      <c r="E234" s="68"/>
      <c r="F234" s="68"/>
      <c r="G234" s="78">
        <v>6</v>
      </c>
      <c r="H234" s="79">
        <v>3</v>
      </c>
      <c r="I234" s="66" t="s">
        <v>29</v>
      </c>
      <c r="J234" s="66"/>
      <c r="K234" s="66"/>
      <c r="L234" s="66"/>
      <c r="M234" s="74"/>
      <c r="N234" s="66"/>
      <c r="O234" s="68" t="s">
        <v>925</v>
      </c>
      <c r="P234" s="161" t="s">
        <v>926</v>
      </c>
      <c r="Q234" s="68"/>
      <c r="R234" s="68"/>
      <c r="S234" s="78">
        <v>5</v>
      </c>
      <c r="T234" s="79">
        <v>4</v>
      </c>
      <c r="U234" s="66" t="s">
        <v>29</v>
      </c>
    </row>
    <row r="235" spans="1:21" ht="13.2" x14ac:dyDescent="0.25">
      <c r="A235" s="67"/>
      <c r="B235" s="66"/>
      <c r="C235" s="68" t="s">
        <v>927</v>
      </c>
      <c r="D235" s="161" t="s">
        <v>928</v>
      </c>
      <c r="E235" s="68"/>
      <c r="F235" s="68"/>
      <c r="G235" s="78">
        <v>8</v>
      </c>
      <c r="H235" s="79">
        <v>0</v>
      </c>
      <c r="I235" s="66" t="s">
        <v>29</v>
      </c>
      <c r="J235" s="66"/>
      <c r="K235" s="66"/>
      <c r="L235" s="66"/>
      <c r="M235" s="74"/>
      <c r="N235" s="66"/>
      <c r="O235" s="68" t="s">
        <v>929</v>
      </c>
      <c r="P235" s="161" t="s">
        <v>930</v>
      </c>
      <c r="Q235" s="68"/>
      <c r="R235" s="68"/>
      <c r="S235" s="78">
        <v>1</v>
      </c>
      <c r="T235" s="79">
        <v>8</v>
      </c>
      <c r="U235" s="66" t="s">
        <v>29</v>
      </c>
    </row>
    <row r="236" spans="1:21" ht="13.2" x14ac:dyDescent="0.25">
      <c r="A236" s="67"/>
      <c r="B236" s="66"/>
      <c r="C236" s="68" t="s">
        <v>931</v>
      </c>
      <c r="D236" s="161" t="s">
        <v>932</v>
      </c>
      <c r="E236" s="68"/>
      <c r="F236" s="68"/>
      <c r="G236" s="78">
        <v>1</v>
      </c>
      <c r="H236" s="79">
        <v>8</v>
      </c>
      <c r="I236" s="66" t="s">
        <v>29</v>
      </c>
      <c r="J236" s="66"/>
      <c r="K236" s="66"/>
      <c r="L236" s="66"/>
      <c r="M236" s="74"/>
      <c r="N236" s="66"/>
      <c r="O236" s="68" t="s">
        <v>933</v>
      </c>
      <c r="P236" s="161" t="s">
        <v>934</v>
      </c>
      <c r="Q236" s="68"/>
      <c r="R236" s="68"/>
      <c r="S236" s="78">
        <v>4</v>
      </c>
      <c r="T236" s="79">
        <v>5</v>
      </c>
      <c r="U236" s="66" t="s">
        <v>29</v>
      </c>
    </row>
    <row r="237" spans="1:21" ht="13.2" x14ac:dyDescent="0.25">
      <c r="A237" s="67"/>
      <c r="B237" s="66"/>
      <c r="C237" s="80"/>
      <c r="D237" s="162" t="s">
        <v>935</v>
      </c>
      <c r="E237" s="162"/>
      <c r="F237" s="162"/>
      <c r="G237" s="72">
        <v>23</v>
      </c>
      <c r="H237" s="73">
        <v>12</v>
      </c>
      <c r="I237" s="66" t="s">
        <v>29</v>
      </c>
      <c r="J237" s="66"/>
      <c r="K237" s="66"/>
      <c r="L237" s="66"/>
      <c r="M237" s="74"/>
      <c r="N237" s="66"/>
      <c r="O237" s="80"/>
      <c r="P237" s="162" t="s">
        <v>935</v>
      </c>
      <c r="Q237" s="162"/>
      <c r="R237" s="162"/>
      <c r="S237" s="72">
        <v>13</v>
      </c>
      <c r="T237" s="73">
        <v>23</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13.2" x14ac:dyDescent="0.25">
      <c r="A242" s="67" t="s">
        <v>919</v>
      </c>
      <c r="B242" s="84"/>
      <c r="C242" s="92">
        <v>1</v>
      </c>
      <c r="D242" s="93" t="s">
        <v>1921</v>
      </c>
      <c r="E242" s="94" t="s">
        <v>137</v>
      </c>
      <c r="F242" s="92" t="s">
        <v>1919</v>
      </c>
      <c r="G242" s="92">
        <v>5</v>
      </c>
      <c r="H242" s="92" t="s">
        <v>29</v>
      </c>
      <c r="I242" s="115" t="s">
        <v>29</v>
      </c>
      <c r="J242" s="89"/>
      <c r="K242" s="89"/>
      <c r="L242" s="89"/>
      <c r="M242" s="96" t="s">
        <v>921</v>
      </c>
      <c r="N242" s="84"/>
      <c r="O242" s="92">
        <v>1</v>
      </c>
      <c r="P242" s="93" t="s">
        <v>1922</v>
      </c>
      <c r="Q242" s="94" t="s">
        <v>612</v>
      </c>
      <c r="R242" s="92" t="s">
        <v>1920</v>
      </c>
      <c r="S242" s="92" t="s">
        <v>29</v>
      </c>
      <c r="T242" s="92">
        <v>5</v>
      </c>
      <c r="U242" s="115" t="s">
        <v>29</v>
      </c>
    </row>
    <row r="243" spans="1:21" ht="13.2" x14ac:dyDescent="0.25">
      <c r="A243" s="67" t="s">
        <v>919</v>
      </c>
      <c r="B243" s="84"/>
      <c r="C243" s="92">
        <v>2</v>
      </c>
      <c r="D243" s="93" t="s">
        <v>1923</v>
      </c>
      <c r="E243" s="97" t="s">
        <v>140</v>
      </c>
      <c r="F243" s="92" t="s">
        <v>1919</v>
      </c>
      <c r="G243" s="92">
        <v>3</v>
      </c>
      <c r="H243" s="92" t="s">
        <v>29</v>
      </c>
      <c r="I243" s="115" t="s">
        <v>29</v>
      </c>
      <c r="J243" s="89"/>
      <c r="K243" s="89"/>
      <c r="L243" s="89"/>
      <c r="M243" s="96" t="s">
        <v>921</v>
      </c>
      <c r="N243" s="84"/>
      <c r="O243" s="92">
        <v>2</v>
      </c>
      <c r="P243" s="93" t="s">
        <v>1924</v>
      </c>
      <c r="Q243" s="97" t="s">
        <v>146</v>
      </c>
      <c r="R243" s="92" t="s">
        <v>1919</v>
      </c>
      <c r="S243" s="92">
        <v>3</v>
      </c>
      <c r="T243" s="92" t="s">
        <v>29</v>
      </c>
      <c r="U243" s="115" t="s">
        <v>29</v>
      </c>
    </row>
    <row r="244" spans="1:21" ht="13.2" x14ac:dyDescent="0.25">
      <c r="A244" s="67" t="s">
        <v>919</v>
      </c>
      <c r="B244" s="84"/>
      <c r="C244" s="92">
        <v>3</v>
      </c>
      <c r="D244" s="93" t="s">
        <v>1925</v>
      </c>
      <c r="E244" s="97" t="s">
        <v>196</v>
      </c>
      <c r="F244" s="92" t="s">
        <v>1920</v>
      </c>
      <c r="G244" s="92" t="s">
        <v>29</v>
      </c>
      <c r="H244" s="92">
        <v>1</v>
      </c>
      <c r="I244" s="115" t="s">
        <v>29</v>
      </c>
      <c r="J244" s="89"/>
      <c r="K244" s="89"/>
      <c r="L244" s="89"/>
      <c r="M244" s="96" t="s">
        <v>921</v>
      </c>
      <c r="N244" s="84"/>
      <c r="O244" s="92">
        <v>3</v>
      </c>
      <c r="P244" s="93" t="s">
        <v>1926</v>
      </c>
      <c r="Q244" s="97" t="s">
        <v>699</v>
      </c>
      <c r="R244" s="92" t="s">
        <v>1920</v>
      </c>
      <c r="S244" s="92" t="s">
        <v>29</v>
      </c>
      <c r="T244" s="92">
        <v>1</v>
      </c>
      <c r="U244" s="115" t="s">
        <v>29</v>
      </c>
    </row>
    <row r="245" spans="1:21" ht="13.2" x14ac:dyDescent="0.25">
      <c r="A245" s="67" t="s">
        <v>919</v>
      </c>
      <c r="B245" s="84"/>
      <c r="C245" s="92">
        <v>4</v>
      </c>
      <c r="D245" s="93" t="s">
        <v>1927</v>
      </c>
      <c r="E245" s="97" t="s">
        <v>141</v>
      </c>
      <c r="F245" s="92" t="s">
        <v>1919</v>
      </c>
      <c r="G245" s="92" t="s">
        <v>29</v>
      </c>
      <c r="H245" s="92" t="s">
        <v>29</v>
      </c>
      <c r="I245" s="115" t="s">
        <v>29</v>
      </c>
      <c r="J245" s="89"/>
      <c r="K245" s="89"/>
      <c r="L245" s="89"/>
      <c r="M245" s="96" t="s">
        <v>921</v>
      </c>
      <c r="N245" s="84"/>
      <c r="O245" s="92">
        <v>4</v>
      </c>
      <c r="P245" s="93" t="s">
        <v>1928</v>
      </c>
      <c r="Q245" s="97" t="s">
        <v>144</v>
      </c>
      <c r="R245" s="92" t="s">
        <v>1919</v>
      </c>
      <c r="S245" s="92" t="s">
        <v>29</v>
      </c>
      <c r="T245" s="92" t="s">
        <v>29</v>
      </c>
      <c r="U245" s="115" t="s">
        <v>29</v>
      </c>
    </row>
    <row r="246" spans="1:21" ht="13.2" x14ac:dyDescent="0.25">
      <c r="A246" s="67" t="s">
        <v>919</v>
      </c>
      <c r="B246" s="84"/>
      <c r="C246" s="92">
        <v>5</v>
      </c>
      <c r="D246" s="93" t="s">
        <v>1929</v>
      </c>
      <c r="E246" s="97" t="s">
        <v>39</v>
      </c>
      <c r="F246" s="92" t="s">
        <v>1919</v>
      </c>
      <c r="G246" s="92" t="s">
        <v>29</v>
      </c>
      <c r="H246" s="92" t="s">
        <v>29</v>
      </c>
      <c r="I246" s="115" t="s">
        <v>29</v>
      </c>
      <c r="J246" s="89"/>
      <c r="K246" s="89"/>
      <c r="L246" s="89"/>
      <c r="M246" s="96" t="s">
        <v>921</v>
      </c>
      <c r="N246" s="84"/>
      <c r="O246" s="92">
        <v>5</v>
      </c>
      <c r="P246" s="93" t="s">
        <v>1930</v>
      </c>
      <c r="Q246" s="97" t="s">
        <v>147</v>
      </c>
      <c r="R246" s="92" t="s">
        <v>1919</v>
      </c>
      <c r="S246" s="92" t="s">
        <v>29</v>
      </c>
      <c r="T246" s="92" t="s">
        <v>29</v>
      </c>
      <c r="U246" s="115" t="s">
        <v>29</v>
      </c>
    </row>
    <row r="247" spans="1:21" ht="13.2" x14ac:dyDescent="0.25">
      <c r="A247" s="67" t="s">
        <v>919</v>
      </c>
      <c r="B247" s="84"/>
      <c r="C247" s="92">
        <v>6</v>
      </c>
      <c r="D247" s="93" t="s">
        <v>1931</v>
      </c>
      <c r="E247" s="97" t="s">
        <v>138</v>
      </c>
      <c r="F247" s="92" t="s">
        <v>1919</v>
      </c>
      <c r="G247" s="92" t="s">
        <v>29</v>
      </c>
      <c r="H247" s="92" t="s">
        <v>29</v>
      </c>
      <c r="I247" s="115" t="s">
        <v>29</v>
      </c>
      <c r="J247" s="89"/>
      <c r="K247" s="89"/>
      <c r="L247" s="89"/>
      <c r="M247" s="96" t="s">
        <v>921</v>
      </c>
      <c r="N247" s="84"/>
      <c r="O247" s="92">
        <v>6</v>
      </c>
      <c r="P247" s="93" t="s">
        <v>1932</v>
      </c>
      <c r="Q247" s="97" t="s">
        <v>700</v>
      </c>
      <c r="R247" s="92" t="s">
        <v>1920</v>
      </c>
      <c r="S247" s="92" t="s">
        <v>29</v>
      </c>
      <c r="T247" s="92" t="s">
        <v>29</v>
      </c>
      <c r="U247" s="115" t="s">
        <v>29</v>
      </c>
    </row>
    <row r="248" spans="1:21" ht="13.2" x14ac:dyDescent="0.25">
      <c r="A248" s="67" t="s">
        <v>919</v>
      </c>
      <c r="B248" s="84"/>
      <c r="C248" s="92">
        <v>7</v>
      </c>
      <c r="D248" s="93" t="s">
        <v>1933</v>
      </c>
      <c r="E248" s="97" t="s">
        <v>698</v>
      </c>
      <c r="F248" s="92" t="s">
        <v>1920</v>
      </c>
      <c r="G248" s="92" t="s">
        <v>29</v>
      </c>
      <c r="H248" s="92" t="s">
        <v>29</v>
      </c>
      <c r="I248" s="115" t="s">
        <v>29</v>
      </c>
      <c r="J248" s="89"/>
      <c r="K248" s="89"/>
      <c r="L248" s="89"/>
      <c r="M248" s="96" t="s">
        <v>29</v>
      </c>
      <c r="N248" s="84"/>
      <c r="O248" s="92" t="s">
        <v>29</v>
      </c>
      <c r="P248" s="93" t="s">
        <v>29</v>
      </c>
      <c r="Q248" s="97" t="s">
        <v>29</v>
      </c>
      <c r="R248" s="92" t="s">
        <v>29</v>
      </c>
      <c r="S248" s="92" t="s">
        <v>29</v>
      </c>
      <c r="T248" s="92" t="s">
        <v>29</v>
      </c>
      <c r="U248" s="115" t="s">
        <v>29</v>
      </c>
    </row>
    <row r="249" spans="1:21" ht="13.2" x14ac:dyDescent="0.25">
      <c r="A249" s="67" t="s">
        <v>919</v>
      </c>
      <c r="B249" s="84"/>
      <c r="C249" s="92">
        <v>8</v>
      </c>
      <c r="D249" s="98" t="s">
        <v>1934</v>
      </c>
      <c r="E249" s="97" t="s">
        <v>143</v>
      </c>
      <c r="F249" s="92" t="s">
        <v>1919</v>
      </c>
      <c r="G249" s="92" t="s">
        <v>29</v>
      </c>
      <c r="H249" s="92" t="s">
        <v>29</v>
      </c>
      <c r="I249" s="115" t="s">
        <v>29</v>
      </c>
      <c r="J249" s="89"/>
      <c r="K249" s="89"/>
      <c r="L249" s="89"/>
      <c r="M249" s="96" t="s">
        <v>29</v>
      </c>
      <c r="N249" s="84"/>
      <c r="O249" s="92" t="s">
        <v>29</v>
      </c>
      <c r="P249" s="93" t="s">
        <v>29</v>
      </c>
      <c r="Q249" s="97" t="s">
        <v>29</v>
      </c>
      <c r="R249" s="92" t="s">
        <v>29</v>
      </c>
      <c r="S249" s="92" t="s">
        <v>29</v>
      </c>
      <c r="T249" s="92" t="s">
        <v>29</v>
      </c>
      <c r="U249" s="115" t="s">
        <v>29</v>
      </c>
    </row>
    <row r="250" spans="1:21" ht="13.2" x14ac:dyDescent="0.25">
      <c r="A250" s="67" t="s">
        <v>919</v>
      </c>
      <c r="B250" s="84"/>
      <c r="C250" s="92">
        <v>9</v>
      </c>
      <c r="D250" s="98" t="s">
        <v>1935</v>
      </c>
      <c r="E250" s="97" t="s">
        <v>142</v>
      </c>
      <c r="F250" s="92" t="s">
        <v>1919</v>
      </c>
      <c r="G250" s="92" t="s">
        <v>29</v>
      </c>
      <c r="H250" s="92" t="s">
        <v>29</v>
      </c>
      <c r="I250" s="115" t="s">
        <v>29</v>
      </c>
      <c r="J250" s="89"/>
      <c r="K250" s="89"/>
      <c r="L250" s="89"/>
      <c r="M250" s="96" t="s">
        <v>29</v>
      </c>
      <c r="N250" s="84"/>
      <c r="O250" s="92" t="s">
        <v>29</v>
      </c>
      <c r="P250" s="93" t="s">
        <v>29</v>
      </c>
      <c r="Q250" s="97" t="s">
        <v>29</v>
      </c>
      <c r="R250" s="92" t="s">
        <v>29</v>
      </c>
      <c r="S250" s="92" t="s">
        <v>29</v>
      </c>
      <c r="T250" s="92" t="s">
        <v>29</v>
      </c>
      <c r="U250" s="115" t="s">
        <v>29</v>
      </c>
    </row>
    <row r="251" spans="1:21" ht="13.2" x14ac:dyDescent="0.25">
      <c r="A251" s="67" t="s">
        <v>919</v>
      </c>
      <c r="B251" s="84"/>
      <c r="C251" s="92">
        <v>10</v>
      </c>
      <c r="D251" s="98" t="s">
        <v>1936</v>
      </c>
      <c r="E251" s="97" t="s">
        <v>136</v>
      </c>
      <c r="F251" s="92" t="s">
        <v>1919</v>
      </c>
      <c r="G251" s="92" t="s">
        <v>29</v>
      </c>
      <c r="H251" s="92" t="s">
        <v>29</v>
      </c>
      <c r="I251" s="115" t="s">
        <v>29</v>
      </c>
      <c r="J251" s="89"/>
      <c r="K251" s="89"/>
      <c r="L251" s="89"/>
      <c r="M251" s="96" t="s">
        <v>29</v>
      </c>
      <c r="N251" s="84"/>
      <c r="O251" s="92" t="s">
        <v>29</v>
      </c>
      <c r="P251" s="93" t="s">
        <v>29</v>
      </c>
      <c r="Q251" s="97" t="s">
        <v>29</v>
      </c>
      <c r="R251" s="92" t="s">
        <v>29</v>
      </c>
      <c r="S251" s="92" t="s">
        <v>29</v>
      </c>
      <c r="T251" s="92" t="s">
        <v>29</v>
      </c>
      <c r="U251" s="115" t="s">
        <v>29</v>
      </c>
    </row>
    <row r="252" spans="1:21" ht="13.2" x14ac:dyDescent="0.25">
      <c r="A252" s="67" t="s">
        <v>919</v>
      </c>
      <c r="B252" s="84"/>
      <c r="C252" s="92">
        <v>11</v>
      </c>
      <c r="D252" s="98" t="s">
        <v>1937</v>
      </c>
      <c r="E252" s="97" t="s">
        <v>139</v>
      </c>
      <c r="F252" s="92" t="s">
        <v>1919</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919</v>
      </c>
      <c r="B253" s="84"/>
      <c r="C253" s="92">
        <v>12</v>
      </c>
      <c r="D253" s="98" t="s">
        <v>1938</v>
      </c>
      <c r="E253" s="97" t="s">
        <v>697</v>
      </c>
      <c r="F253" s="92" t="s">
        <v>1920</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20"/>
      <c r="E267" s="220"/>
      <c r="F267" s="220"/>
      <c r="G267" s="99">
        <v>8</v>
      </c>
      <c r="H267" s="99">
        <v>1</v>
      </c>
      <c r="I267" s="115" t="s">
        <v>29</v>
      </c>
      <c r="J267" s="89"/>
      <c r="K267" s="89"/>
      <c r="L267" s="89"/>
      <c r="M267" s="96" t="s">
        <v>29</v>
      </c>
      <c r="N267" s="84"/>
      <c r="O267" s="219" t="s">
        <v>955</v>
      </c>
      <c r="P267" s="220"/>
      <c r="Q267" s="220"/>
      <c r="R267" s="220"/>
      <c r="S267" s="99">
        <v>3</v>
      </c>
      <c r="T267" s="99">
        <v>6</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08"/>
      <c r="C271" s="92">
        <v>1</v>
      </c>
      <c r="D271" s="93" t="s">
        <v>1939</v>
      </c>
      <c r="E271" s="94" t="s">
        <v>156</v>
      </c>
      <c r="F271" s="92" t="s">
        <v>1919</v>
      </c>
      <c r="G271" s="92">
        <v>5</v>
      </c>
      <c r="H271" s="92" t="s">
        <v>29</v>
      </c>
      <c r="I271" s="116" t="s">
        <v>29</v>
      </c>
      <c r="J271" s="89"/>
      <c r="K271" s="89"/>
      <c r="L271" s="89"/>
      <c r="M271" s="96" t="s">
        <v>925</v>
      </c>
      <c r="N271" s="108"/>
      <c r="O271" s="92">
        <v>1</v>
      </c>
      <c r="P271" s="93" t="s">
        <v>1940</v>
      </c>
      <c r="Q271" s="94" t="s">
        <v>158</v>
      </c>
      <c r="R271" s="92" t="s">
        <v>1919</v>
      </c>
      <c r="S271" s="92">
        <v>5</v>
      </c>
      <c r="T271" s="92" t="s">
        <v>29</v>
      </c>
      <c r="U271" s="116" t="s">
        <v>29</v>
      </c>
    </row>
    <row r="272" spans="1:21" ht="13.2" x14ac:dyDescent="0.25">
      <c r="A272" s="67" t="s">
        <v>923</v>
      </c>
      <c r="B272" s="108"/>
      <c r="C272" s="92">
        <v>2</v>
      </c>
      <c r="D272" s="93" t="s">
        <v>1941</v>
      </c>
      <c r="E272" s="97" t="s">
        <v>704</v>
      </c>
      <c r="F272" s="92" t="s">
        <v>1920</v>
      </c>
      <c r="G272" s="92" t="s">
        <v>29</v>
      </c>
      <c r="H272" s="92">
        <v>3</v>
      </c>
      <c r="I272" s="116" t="s">
        <v>29</v>
      </c>
      <c r="J272" s="89"/>
      <c r="K272" s="89"/>
      <c r="L272" s="89"/>
      <c r="M272" s="96" t="s">
        <v>925</v>
      </c>
      <c r="N272" s="108"/>
      <c r="O272" s="92">
        <v>2</v>
      </c>
      <c r="P272" s="93" t="s">
        <v>1942</v>
      </c>
      <c r="Q272" s="97" t="s">
        <v>705</v>
      </c>
      <c r="R272" s="92" t="s">
        <v>1920</v>
      </c>
      <c r="S272" s="92" t="s">
        <v>29</v>
      </c>
      <c r="T272" s="92">
        <v>3</v>
      </c>
      <c r="U272" s="116" t="s">
        <v>29</v>
      </c>
    </row>
    <row r="273" spans="1:21" ht="13.2" x14ac:dyDescent="0.25">
      <c r="A273" s="67" t="s">
        <v>923</v>
      </c>
      <c r="B273" s="108"/>
      <c r="C273" s="92">
        <v>3</v>
      </c>
      <c r="D273" s="93" t="s">
        <v>1943</v>
      </c>
      <c r="E273" s="97" t="s">
        <v>154</v>
      </c>
      <c r="F273" s="92" t="s">
        <v>1919</v>
      </c>
      <c r="G273" s="92">
        <v>1</v>
      </c>
      <c r="H273" s="92" t="s">
        <v>29</v>
      </c>
      <c r="I273" s="116" t="s">
        <v>29</v>
      </c>
      <c r="J273" s="89"/>
      <c r="K273" s="89"/>
      <c r="L273" s="89"/>
      <c r="M273" s="96" t="s">
        <v>925</v>
      </c>
      <c r="N273" s="108"/>
      <c r="O273" s="92">
        <v>3</v>
      </c>
      <c r="P273" s="93" t="s">
        <v>1944</v>
      </c>
      <c r="Q273" s="97" t="s">
        <v>707</v>
      </c>
      <c r="R273" s="92" t="s">
        <v>1920</v>
      </c>
      <c r="S273" s="92" t="s">
        <v>29</v>
      </c>
      <c r="T273" s="92">
        <v>1</v>
      </c>
      <c r="U273" s="116" t="s">
        <v>29</v>
      </c>
    </row>
    <row r="274" spans="1:21" ht="13.2" x14ac:dyDescent="0.25">
      <c r="A274" s="67" t="s">
        <v>923</v>
      </c>
      <c r="B274" s="108"/>
      <c r="C274" s="92">
        <v>4</v>
      </c>
      <c r="D274" s="93" t="s">
        <v>1945</v>
      </c>
      <c r="E274" s="97" t="s">
        <v>703</v>
      </c>
      <c r="F274" s="92" t="s">
        <v>1920</v>
      </c>
      <c r="G274" s="92" t="s">
        <v>29</v>
      </c>
      <c r="H274" s="92" t="s">
        <v>29</v>
      </c>
      <c r="I274" s="116" t="s">
        <v>29</v>
      </c>
      <c r="J274" s="89"/>
      <c r="K274" s="89"/>
      <c r="L274" s="89"/>
      <c r="M274" s="96" t="s">
        <v>925</v>
      </c>
      <c r="N274" s="108"/>
      <c r="O274" s="92">
        <v>4</v>
      </c>
      <c r="P274" s="93" t="s">
        <v>1946</v>
      </c>
      <c r="Q274" s="97" t="s">
        <v>215</v>
      </c>
      <c r="R274" s="92" t="s">
        <v>1920</v>
      </c>
      <c r="S274" s="92" t="s">
        <v>29</v>
      </c>
      <c r="T274" s="92" t="s">
        <v>29</v>
      </c>
      <c r="U274" s="116" t="s">
        <v>29</v>
      </c>
    </row>
    <row r="275" spans="1:21" ht="13.2" x14ac:dyDescent="0.25">
      <c r="A275" s="67" t="s">
        <v>923</v>
      </c>
      <c r="B275" s="108"/>
      <c r="C275" s="92">
        <v>5</v>
      </c>
      <c r="D275" s="93" t="s">
        <v>1947</v>
      </c>
      <c r="E275" s="97" t="s">
        <v>155</v>
      </c>
      <c r="F275" s="92" t="s">
        <v>1919</v>
      </c>
      <c r="G275" s="92" t="s">
        <v>29</v>
      </c>
      <c r="H275" s="92" t="s">
        <v>29</v>
      </c>
      <c r="I275" s="116" t="s">
        <v>29</v>
      </c>
      <c r="J275" s="89"/>
      <c r="K275" s="89"/>
      <c r="L275" s="89"/>
      <c r="M275" s="96" t="s">
        <v>925</v>
      </c>
      <c r="N275" s="108"/>
      <c r="O275" s="92">
        <v>5</v>
      </c>
      <c r="P275" s="93" t="s">
        <v>1948</v>
      </c>
      <c r="Q275" s="97" t="s">
        <v>145</v>
      </c>
      <c r="R275" s="92" t="s">
        <v>1919</v>
      </c>
      <c r="S275" s="92" t="s">
        <v>29</v>
      </c>
      <c r="T275" s="92" t="s">
        <v>29</v>
      </c>
      <c r="U275" s="116" t="s">
        <v>64</v>
      </c>
    </row>
    <row r="276" spans="1:21" ht="13.2" x14ac:dyDescent="0.25">
      <c r="A276" s="67" t="s">
        <v>29</v>
      </c>
      <c r="B276" s="108"/>
      <c r="C276" s="92" t="s">
        <v>29</v>
      </c>
      <c r="D276" s="93" t="s">
        <v>29</v>
      </c>
      <c r="E276" s="97" t="s">
        <v>29</v>
      </c>
      <c r="F276" s="92" t="s">
        <v>29</v>
      </c>
      <c r="G276" s="92" t="s">
        <v>29</v>
      </c>
      <c r="H276" s="92" t="s">
        <v>29</v>
      </c>
      <c r="I276" s="116" t="s">
        <v>29</v>
      </c>
      <c r="J276" s="89"/>
      <c r="K276" s="89"/>
      <c r="L276" s="89"/>
      <c r="M276" s="96" t="s">
        <v>925</v>
      </c>
      <c r="N276" s="108"/>
      <c r="O276" s="92">
        <v>6</v>
      </c>
      <c r="P276" s="93" t="s">
        <v>1949</v>
      </c>
      <c r="Q276" s="97" t="s">
        <v>157</v>
      </c>
      <c r="R276" s="92" t="s">
        <v>1919</v>
      </c>
      <c r="S276" s="92" t="s">
        <v>29</v>
      </c>
      <c r="T276" s="92" t="s">
        <v>29</v>
      </c>
      <c r="U276" s="116" t="s">
        <v>29</v>
      </c>
    </row>
    <row r="277" spans="1:21" ht="13.2" x14ac:dyDescent="0.25">
      <c r="A277" s="67" t="s">
        <v>29</v>
      </c>
      <c r="B277" s="108"/>
      <c r="C277" s="92" t="s">
        <v>29</v>
      </c>
      <c r="D277" s="93" t="s">
        <v>29</v>
      </c>
      <c r="E277" s="97" t="s">
        <v>29</v>
      </c>
      <c r="F277" s="92" t="s">
        <v>29</v>
      </c>
      <c r="G277" s="92" t="s">
        <v>29</v>
      </c>
      <c r="H277" s="92" t="s">
        <v>29</v>
      </c>
      <c r="I277" s="116" t="s">
        <v>29</v>
      </c>
      <c r="J277" s="89"/>
      <c r="K277" s="89"/>
      <c r="L277" s="89"/>
      <c r="M277" s="96" t="s">
        <v>925</v>
      </c>
      <c r="N277" s="108"/>
      <c r="O277" s="92">
        <v>7</v>
      </c>
      <c r="P277" s="93" t="s">
        <v>1950</v>
      </c>
      <c r="Q277" s="97" t="s">
        <v>159</v>
      </c>
      <c r="R277" s="92" t="s">
        <v>1919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20"/>
      <c r="E286" s="220"/>
      <c r="F286" s="222"/>
      <c r="G286" s="99">
        <v>6</v>
      </c>
      <c r="H286" s="99">
        <v>3</v>
      </c>
      <c r="I286" s="116" t="s">
        <v>29</v>
      </c>
      <c r="J286" s="89"/>
      <c r="K286" s="89"/>
      <c r="L286" s="89"/>
      <c r="M286" s="96" t="s">
        <v>29</v>
      </c>
      <c r="N286" s="108"/>
      <c r="O286" s="219" t="s">
        <v>972</v>
      </c>
      <c r="P286" s="220"/>
      <c r="Q286" s="220"/>
      <c r="R286" s="222"/>
      <c r="S286" s="99">
        <v>5</v>
      </c>
      <c r="T286" s="99">
        <v>4</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1951</v>
      </c>
      <c r="E290" s="94" t="s">
        <v>150</v>
      </c>
      <c r="F290" s="92" t="s">
        <v>1919</v>
      </c>
      <c r="G290" s="92">
        <v>5</v>
      </c>
      <c r="H290" s="92" t="s">
        <v>29</v>
      </c>
      <c r="I290" s="115" t="s">
        <v>29</v>
      </c>
      <c r="J290" s="89"/>
      <c r="K290" s="89"/>
      <c r="L290" s="89"/>
      <c r="M290" s="96" t="s">
        <v>929</v>
      </c>
      <c r="N290" s="84"/>
      <c r="O290" s="92">
        <v>1</v>
      </c>
      <c r="P290" s="93" t="s">
        <v>1952</v>
      </c>
      <c r="Q290" s="94" t="s">
        <v>706</v>
      </c>
      <c r="R290" s="92" t="s">
        <v>1920</v>
      </c>
      <c r="S290" s="92" t="s">
        <v>29</v>
      </c>
      <c r="T290" s="92">
        <v>5</v>
      </c>
      <c r="U290" s="115" t="s">
        <v>64</v>
      </c>
    </row>
    <row r="291" spans="1:21" ht="13.2" x14ac:dyDescent="0.25">
      <c r="A291" s="67" t="s">
        <v>927</v>
      </c>
      <c r="B291" s="84"/>
      <c r="C291" s="92">
        <v>2</v>
      </c>
      <c r="D291" s="93" t="s">
        <v>1953</v>
      </c>
      <c r="E291" s="97" t="s">
        <v>149</v>
      </c>
      <c r="F291" s="92" t="s">
        <v>1919</v>
      </c>
      <c r="G291" s="92">
        <v>3</v>
      </c>
      <c r="H291" s="92" t="s">
        <v>29</v>
      </c>
      <c r="I291" s="115" t="s">
        <v>29</v>
      </c>
      <c r="J291" s="89"/>
      <c r="K291" s="89"/>
      <c r="L291" s="89"/>
      <c r="M291" s="96" t="s">
        <v>929</v>
      </c>
      <c r="N291" s="84"/>
      <c r="O291" s="92">
        <v>2</v>
      </c>
      <c r="P291" s="93" t="s">
        <v>1954</v>
      </c>
      <c r="Q291" s="97" t="s">
        <v>701</v>
      </c>
      <c r="R291" s="92" t="s">
        <v>1920</v>
      </c>
      <c r="S291" s="92" t="s">
        <v>29</v>
      </c>
      <c r="T291" s="92">
        <v>3</v>
      </c>
      <c r="U291" s="115" t="s">
        <v>29</v>
      </c>
    </row>
    <row r="292" spans="1:21" ht="13.2" x14ac:dyDescent="0.25">
      <c r="A292" s="67" t="s">
        <v>29</v>
      </c>
      <c r="B292" s="84"/>
      <c r="C292" s="92" t="s">
        <v>29</v>
      </c>
      <c r="D292" s="93" t="s">
        <v>29</v>
      </c>
      <c r="E292" s="97" t="s">
        <v>29</v>
      </c>
      <c r="F292" s="92" t="s">
        <v>29</v>
      </c>
      <c r="G292" s="92" t="s">
        <v>29</v>
      </c>
      <c r="H292" s="92" t="s">
        <v>29</v>
      </c>
      <c r="I292" s="115" t="s">
        <v>29</v>
      </c>
      <c r="J292" s="89"/>
      <c r="K292" s="89"/>
      <c r="L292" s="89"/>
      <c r="M292" s="96" t="s">
        <v>929</v>
      </c>
      <c r="N292" s="84"/>
      <c r="O292" s="92">
        <v>3</v>
      </c>
      <c r="P292" s="93" t="s">
        <v>1955</v>
      </c>
      <c r="Q292" s="97" t="s">
        <v>152</v>
      </c>
      <c r="R292" s="92" t="s">
        <v>1919</v>
      </c>
      <c r="S292" s="92">
        <v>1</v>
      </c>
      <c r="T292" s="92" t="s">
        <v>29</v>
      </c>
      <c r="U292" s="115" t="s">
        <v>29</v>
      </c>
    </row>
    <row r="293" spans="1:21" ht="13.2" x14ac:dyDescent="0.25">
      <c r="A293" s="67" t="s">
        <v>29</v>
      </c>
      <c r="B293" s="84"/>
      <c r="C293" s="92" t="s">
        <v>29</v>
      </c>
      <c r="D293" s="93" t="s">
        <v>29</v>
      </c>
      <c r="E293" s="97" t="s">
        <v>29</v>
      </c>
      <c r="F293" s="92" t="s">
        <v>29</v>
      </c>
      <c r="G293" s="92" t="s">
        <v>29</v>
      </c>
      <c r="H293" s="92" t="s">
        <v>29</v>
      </c>
      <c r="I293" s="115" t="s">
        <v>29</v>
      </c>
      <c r="J293" s="89"/>
      <c r="K293" s="89"/>
      <c r="L293" s="89"/>
      <c r="M293" s="96" t="s">
        <v>929</v>
      </c>
      <c r="N293" s="84"/>
      <c r="O293" s="92">
        <v>4</v>
      </c>
      <c r="P293" s="93" t="s">
        <v>1956</v>
      </c>
      <c r="Q293" s="97" t="s">
        <v>151</v>
      </c>
      <c r="R293" s="92" t="s">
        <v>1919</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29</v>
      </c>
      <c r="N294" s="84"/>
      <c r="O294" s="92" t="s">
        <v>29</v>
      </c>
      <c r="P294" s="93" t="s">
        <v>29</v>
      </c>
      <c r="Q294" s="97" t="s">
        <v>29</v>
      </c>
      <c r="R294" s="92" t="s">
        <v>29</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20"/>
      <c r="E305" s="220"/>
      <c r="F305" s="220"/>
      <c r="G305" s="99">
        <v>8</v>
      </c>
      <c r="H305" s="99">
        <v>0</v>
      </c>
      <c r="I305" s="115" t="s">
        <v>29</v>
      </c>
      <c r="J305" s="89"/>
      <c r="K305" s="89"/>
      <c r="L305" s="89"/>
      <c r="M305" s="96" t="s">
        <v>29</v>
      </c>
      <c r="N305" s="84"/>
      <c r="O305" s="219" t="s">
        <v>985</v>
      </c>
      <c r="P305" s="220"/>
      <c r="Q305" s="220"/>
      <c r="R305" s="220"/>
      <c r="S305" s="99">
        <v>1</v>
      </c>
      <c r="T305" s="99">
        <v>8</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1957</v>
      </c>
      <c r="E309" s="94" t="s">
        <v>709</v>
      </c>
      <c r="F309" s="92" t="s">
        <v>1920</v>
      </c>
      <c r="G309" s="92" t="s">
        <v>29</v>
      </c>
      <c r="H309" s="92">
        <v>5</v>
      </c>
      <c r="I309" s="116" t="s">
        <v>29</v>
      </c>
      <c r="J309" s="89"/>
      <c r="K309" s="89"/>
      <c r="L309" s="89"/>
      <c r="M309" s="96" t="s">
        <v>933</v>
      </c>
      <c r="N309" s="108"/>
      <c r="O309" s="92">
        <v>1</v>
      </c>
      <c r="P309" s="93" t="s">
        <v>1958</v>
      </c>
      <c r="Q309" s="94" t="s">
        <v>702</v>
      </c>
      <c r="R309" s="92" t="s">
        <v>1920</v>
      </c>
      <c r="S309" s="92" t="s">
        <v>29</v>
      </c>
      <c r="T309" s="92">
        <v>5</v>
      </c>
      <c r="U309" s="116" t="s">
        <v>64</v>
      </c>
    </row>
    <row r="310" spans="1:21" ht="13.2" x14ac:dyDescent="0.25">
      <c r="A310" s="67" t="s">
        <v>931</v>
      </c>
      <c r="B310" s="108"/>
      <c r="C310" s="92">
        <v>2</v>
      </c>
      <c r="D310" s="93" t="s">
        <v>1959</v>
      </c>
      <c r="E310" s="97" t="s">
        <v>710</v>
      </c>
      <c r="F310" s="92" t="s">
        <v>1920</v>
      </c>
      <c r="G310" s="92" t="s">
        <v>29</v>
      </c>
      <c r="H310" s="92">
        <v>3</v>
      </c>
      <c r="I310" s="116" t="s">
        <v>29</v>
      </c>
      <c r="J310" s="89"/>
      <c r="K310" s="89"/>
      <c r="L310" s="89"/>
      <c r="M310" s="96" t="s">
        <v>933</v>
      </c>
      <c r="N310" s="108"/>
      <c r="O310" s="92">
        <v>2</v>
      </c>
      <c r="P310" s="93" t="s">
        <v>1960</v>
      </c>
      <c r="Q310" s="97" t="s">
        <v>153</v>
      </c>
      <c r="R310" s="92" t="s">
        <v>1919</v>
      </c>
      <c r="S310" s="92">
        <v>3</v>
      </c>
      <c r="T310" s="92" t="s">
        <v>29</v>
      </c>
      <c r="U310" s="116" t="s">
        <v>64</v>
      </c>
    </row>
    <row r="311" spans="1:21" ht="13.2" x14ac:dyDescent="0.25">
      <c r="A311" s="67" t="s">
        <v>931</v>
      </c>
      <c r="B311" s="108"/>
      <c r="C311" s="92">
        <v>3</v>
      </c>
      <c r="D311" s="93" t="s">
        <v>1961</v>
      </c>
      <c r="E311" s="97" t="s">
        <v>148</v>
      </c>
      <c r="F311" s="92" t="s">
        <v>1919</v>
      </c>
      <c r="G311" s="92">
        <v>1</v>
      </c>
      <c r="H311" s="92" t="s">
        <v>29</v>
      </c>
      <c r="I311" s="116" t="s">
        <v>64</v>
      </c>
      <c r="J311" s="89"/>
      <c r="K311" s="89"/>
      <c r="L311" s="89"/>
      <c r="M311" s="96" t="s">
        <v>933</v>
      </c>
      <c r="N311" s="108"/>
      <c r="O311" s="92">
        <v>3</v>
      </c>
      <c r="P311" s="93" t="s">
        <v>1962</v>
      </c>
      <c r="Q311" s="97" t="s">
        <v>160</v>
      </c>
      <c r="R311" s="92" t="s">
        <v>1919</v>
      </c>
      <c r="S311" s="92">
        <v>1</v>
      </c>
      <c r="T311" s="92" t="s">
        <v>29</v>
      </c>
      <c r="U311" s="116" t="s">
        <v>29</v>
      </c>
    </row>
    <row r="312" spans="1:21" ht="13.2" x14ac:dyDescent="0.25">
      <c r="A312" s="67" t="s">
        <v>931</v>
      </c>
      <c r="B312" s="108"/>
      <c r="C312" s="92">
        <v>4</v>
      </c>
      <c r="D312" s="93" t="s">
        <v>1963</v>
      </c>
      <c r="E312" s="97" t="s">
        <v>708</v>
      </c>
      <c r="F312" s="92" t="s">
        <v>1920</v>
      </c>
      <c r="G312" s="92" t="s">
        <v>29</v>
      </c>
      <c r="H312" s="92" t="s">
        <v>29</v>
      </c>
      <c r="I312" s="116" t="s">
        <v>29</v>
      </c>
      <c r="J312" s="89"/>
      <c r="K312" s="89"/>
      <c r="L312" s="89"/>
      <c r="M312" s="96" t="s">
        <v>29</v>
      </c>
      <c r="N312" s="108"/>
      <c r="O312" s="92" t="s">
        <v>29</v>
      </c>
      <c r="P312" s="93" t="s">
        <v>29</v>
      </c>
      <c r="Q312" s="97" t="s">
        <v>29</v>
      </c>
      <c r="R312" s="92" t="s">
        <v>29</v>
      </c>
      <c r="S312" s="92" t="s">
        <v>29</v>
      </c>
      <c r="T312" s="92" t="s">
        <v>29</v>
      </c>
      <c r="U312" s="116" t="s">
        <v>29</v>
      </c>
    </row>
    <row r="313" spans="1:21" ht="13.2" x14ac:dyDescent="0.25">
      <c r="A313" s="67" t="s">
        <v>931</v>
      </c>
      <c r="B313" s="108"/>
      <c r="C313" s="92">
        <v>5</v>
      </c>
      <c r="D313" s="93" t="s">
        <v>1964</v>
      </c>
      <c r="E313" s="97" t="s">
        <v>303</v>
      </c>
      <c r="F313" s="92" t="s">
        <v>1920</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29</v>
      </c>
      <c r="B314" s="108"/>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20"/>
      <c r="E324" s="220"/>
      <c r="F324" s="220"/>
      <c r="G324" s="99">
        <v>1</v>
      </c>
      <c r="H324" s="99">
        <v>8</v>
      </c>
      <c r="I324" s="116" t="s">
        <v>29</v>
      </c>
      <c r="J324" s="89"/>
      <c r="K324" s="89"/>
      <c r="L324" s="89"/>
      <c r="M324" s="96" t="s">
        <v>29</v>
      </c>
      <c r="N324" s="108"/>
      <c r="O324" s="219" t="s">
        <v>996</v>
      </c>
      <c r="P324" s="220"/>
      <c r="Q324" s="220"/>
      <c r="R324" s="220"/>
      <c r="S324" s="99">
        <v>4</v>
      </c>
      <c r="T324" s="99">
        <v>5</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1965</v>
      </c>
      <c r="R326" s="220"/>
      <c r="S326" s="220"/>
      <c r="T326" s="222"/>
      <c r="U326" s="66" t="s">
        <v>29</v>
      </c>
    </row>
    <row r="327" spans="1:21" ht="13.2" x14ac:dyDescent="0.25">
      <c r="A327" s="67"/>
      <c r="B327" s="66"/>
      <c r="C327" s="245" t="s">
        <v>1966</v>
      </c>
      <c r="D327" s="227"/>
      <c r="E327" s="227"/>
      <c r="F327" s="227"/>
      <c r="G327" s="227"/>
      <c r="H327" s="228"/>
      <c r="I327" s="89" t="s">
        <v>29</v>
      </c>
      <c r="J327" s="89"/>
      <c r="K327" s="89"/>
      <c r="L327" s="89"/>
      <c r="M327" s="96"/>
      <c r="N327" s="119"/>
      <c r="O327" s="120" t="s">
        <v>1001</v>
      </c>
      <c r="P327" s="121"/>
      <c r="Q327" s="221" t="s">
        <v>1967</v>
      </c>
      <c r="R327" s="220"/>
      <c r="S327" s="220"/>
      <c r="T327" s="222"/>
      <c r="U327" s="66" t="s">
        <v>29</v>
      </c>
    </row>
    <row r="328" spans="1:21" ht="13.2" x14ac:dyDescent="0.25">
      <c r="A328" s="67"/>
      <c r="B328" s="66"/>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B329" s="66"/>
      <c r="C329" s="118" t="s">
        <v>1003</v>
      </c>
      <c r="D329" s="122"/>
      <c r="E329" s="225" t="s">
        <v>1968</v>
      </c>
      <c r="F329" s="220"/>
      <c r="G329" s="220"/>
      <c r="H329" s="222"/>
      <c r="I329" s="89" t="s">
        <v>29</v>
      </c>
      <c r="J329" s="89"/>
      <c r="K329" s="89"/>
      <c r="L329" s="89"/>
      <c r="M329" s="96"/>
      <c r="N329" s="119"/>
      <c r="O329" s="118" t="s">
        <v>1004</v>
      </c>
      <c r="P329" s="122"/>
      <c r="Q329" s="225" t="s">
        <v>1969</v>
      </c>
      <c r="R329" s="220"/>
      <c r="S329" s="220"/>
      <c r="T329" s="222"/>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42"/>
      <c r="D331" s="227"/>
      <c r="E331" s="227"/>
      <c r="F331" s="227"/>
      <c r="G331" s="227"/>
      <c r="H331" s="228"/>
      <c r="I331" s="66" t="s">
        <v>29</v>
      </c>
      <c r="J331" s="66"/>
      <c r="K331" s="66"/>
      <c r="L331" s="66"/>
      <c r="M331" s="74"/>
      <c r="N331" s="123"/>
      <c r="O331" s="240"/>
      <c r="P331" s="227"/>
      <c r="Q331" s="227"/>
      <c r="R331" s="227"/>
      <c r="S331" s="227"/>
      <c r="T331" s="228"/>
      <c r="U331" s="66" t="s">
        <v>29</v>
      </c>
    </row>
    <row r="332" spans="1:21" ht="13.2" x14ac:dyDescent="0.25">
      <c r="B332" s="66"/>
      <c r="C332" s="229"/>
      <c r="D332" s="224"/>
      <c r="E332" s="224"/>
      <c r="F332" s="224"/>
      <c r="G332" s="224"/>
      <c r="H332" s="230"/>
      <c r="I332" s="66" t="s">
        <v>29</v>
      </c>
      <c r="J332" s="66"/>
      <c r="K332" s="66"/>
      <c r="L332" s="66"/>
      <c r="M332" s="74"/>
      <c r="N332" s="123"/>
      <c r="O332" s="229"/>
      <c r="P332" s="224"/>
      <c r="Q332" s="224"/>
      <c r="R332" s="224"/>
      <c r="S332" s="224"/>
      <c r="T332" s="230"/>
      <c r="U332" s="66" t="s">
        <v>29</v>
      </c>
    </row>
    <row r="333" spans="1:21" ht="13.2" x14ac:dyDescent="0.25">
      <c r="B333" s="66"/>
      <c r="C333" s="229"/>
      <c r="D333" s="224"/>
      <c r="E333" s="224"/>
      <c r="F333" s="224"/>
      <c r="G333" s="224"/>
      <c r="H333" s="230"/>
      <c r="I333" s="66" t="s">
        <v>29</v>
      </c>
      <c r="J333" s="66"/>
      <c r="K333" s="66"/>
      <c r="L333" s="66"/>
      <c r="M333" s="74"/>
      <c r="N333" s="123"/>
      <c r="O333" s="229"/>
      <c r="P333" s="224"/>
      <c r="Q333" s="224"/>
      <c r="R333" s="224"/>
      <c r="S333" s="224"/>
      <c r="T333" s="230"/>
      <c r="U333" s="66" t="s">
        <v>29</v>
      </c>
    </row>
    <row r="334" spans="1:21" ht="13.2" x14ac:dyDescent="0.25">
      <c r="B334" s="66"/>
      <c r="C334" s="231"/>
      <c r="D334" s="232"/>
      <c r="E334" s="232"/>
      <c r="F334" s="232"/>
      <c r="G334" s="232"/>
      <c r="H334" s="233"/>
      <c r="I334" s="66" t="s">
        <v>29</v>
      </c>
      <c r="J334" s="66"/>
      <c r="K334" s="66"/>
      <c r="L334" s="66"/>
      <c r="M334" s="74"/>
      <c r="N334" s="123"/>
      <c r="O334" s="231"/>
      <c r="P334" s="232"/>
      <c r="Q334" s="232"/>
      <c r="R334" s="232"/>
      <c r="S334" s="232"/>
      <c r="T334" s="233"/>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7" priority="1" operator="equal">
      <formula>0</formula>
    </cfRule>
  </conditionalFormatting>
  <hyperlinks>
    <hyperlink ref="B3" location="null!a6" display="1" xr:uid="{00000000-0004-0000-0800-000000000000}"/>
    <hyperlink ref="D3" location="null!a6" display="RFD-Rutherford" xr:uid="{00000000-0004-0000-0800-000001000000}"/>
    <hyperlink ref="P3" location="null!a6" display="AF-Arlington Forest" xr:uid="{00000000-0004-0000-0800-000002000000}"/>
    <hyperlink ref="B4" location="null!a116" display="2" xr:uid="{00000000-0004-0000-0800-000003000000}"/>
    <hyperlink ref="D4" location="null!a116" display="A-Annandale" xr:uid="{00000000-0004-0000-0800-000004000000}"/>
    <hyperlink ref="P4" location="null!a116" display="NS-North Springfield" xr:uid="{00000000-0004-0000-0800-000005000000}"/>
    <hyperlink ref="B5" location="null!a226" display="3" xr:uid="{00000000-0004-0000-0800-000006000000}"/>
    <hyperlink ref="D5" location="null!a226" display="CSC-Commonwealth Swim Club" xr:uid="{00000000-0004-0000-0800-000007000000}"/>
    <hyperlink ref="P5" location="null!a226" display="S-Springfield" xr:uid="{00000000-0004-0000-0800-000008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00AAAA"/>
    <outlinePr summaryBelow="0" summaryRight="0"/>
  </sheetPr>
  <dimension ref="A1:U349"/>
  <sheetViews>
    <sheetView workbookViewId="0">
      <pane ySplit="5" topLeftCell="A6" activePane="bottomLeft" state="frozen"/>
      <selection pane="bottomLeft" activeCell="C221" sqref="C221:H224"/>
    </sheetView>
  </sheetViews>
  <sheetFormatPr defaultColWidth="12.6640625" defaultRowHeight="15.75" customHeight="1" x14ac:dyDescent="0.25"/>
  <cols>
    <col min="1" max="1" width="3" hidden="1" customWidth="1"/>
    <col min="2" max="2" width="1.44140625" customWidth="1"/>
    <col min="3" max="3" width="3.44140625" customWidth="1"/>
    <col min="4" max="4" width="21"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7.200000000000003" customHeight="1" x14ac:dyDescent="0.45">
      <c r="A1" s="42" t="s">
        <v>29</v>
      </c>
      <c r="B1" s="43"/>
      <c r="C1" s="6"/>
      <c r="D1" s="44">
        <v>45461</v>
      </c>
      <c r="E1" s="8"/>
      <c r="F1" s="45" t="s">
        <v>911</v>
      </c>
      <c r="G1" s="9"/>
      <c r="H1" s="8"/>
      <c r="I1" s="10"/>
      <c r="J1" s="10"/>
      <c r="K1" s="10"/>
      <c r="L1" s="10"/>
      <c r="M1" s="10"/>
      <c r="N1" s="10"/>
      <c r="O1" s="10"/>
      <c r="P1" s="10"/>
      <c r="Q1" s="46" t="s">
        <v>1</v>
      </c>
      <c r="R1" s="246">
        <v>8</v>
      </c>
      <c r="S1" s="220"/>
      <c r="T1" s="220"/>
      <c r="U1" s="12"/>
    </row>
    <row r="2" spans="1:21" ht="17.399999999999999" x14ac:dyDescent="0.3">
      <c r="B2" s="247" t="s">
        <v>0</v>
      </c>
      <c r="C2" s="224"/>
      <c r="D2" s="17" t="s">
        <v>859</v>
      </c>
      <c r="E2" s="9"/>
      <c r="F2" s="248" t="s">
        <v>2</v>
      </c>
      <c r="G2" s="224"/>
      <c r="H2" s="224"/>
      <c r="I2" s="249" t="s">
        <v>29</v>
      </c>
      <c r="J2" s="224"/>
      <c r="K2" s="224"/>
      <c r="L2" s="8"/>
      <c r="M2" s="8"/>
      <c r="N2" s="8"/>
      <c r="O2" s="8"/>
      <c r="P2" s="17" t="s">
        <v>860</v>
      </c>
      <c r="Q2" s="9"/>
      <c r="R2" s="248" t="s">
        <v>2</v>
      </c>
      <c r="S2" s="224"/>
      <c r="T2" s="224"/>
      <c r="U2" s="9" t="s">
        <v>29</v>
      </c>
    </row>
    <row r="3" spans="1:21" ht="15.6" x14ac:dyDescent="0.3">
      <c r="A3" s="47">
        <v>1</v>
      </c>
      <c r="B3" s="27">
        <v>1</v>
      </c>
      <c r="C3" s="8"/>
      <c r="D3" s="272" t="s">
        <v>904</v>
      </c>
      <c r="E3" s="222"/>
      <c r="F3" s="251">
        <v>35</v>
      </c>
      <c r="G3" s="220"/>
      <c r="H3" s="222"/>
      <c r="I3" s="48">
        <v>0</v>
      </c>
      <c r="J3" s="8"/>
      <c r="K3" s="49">
        <v>21</v>
      </c>
      <c r="L3" s="50" t="s">
        <v>11</v>
      </c>
      <c r="M3" s="8"/>
      <c r="N3" s="51">
        <v>14</v>
      </c>
      <c r="O3" s="8"/>
      <c r="P3" s="273" t="s">
        <v>905</v>
      </c>
      <c r="Q3" s="220"/>
      <c r="R3" s="253">
        <v>30</v>
      </c>
      <c r="S3" s="220"/>
      <c r="T3" s="222"/>
      <c r="U3" s="48">
        <v>0</v>
      </c>
    </row>
    <row r="4" spans="1:21" ht="15.6" x14ac:dyDescent="0.3">
      <c r="A4" s="47">
        <v>2</v>
      </c>
      <c r="B4" s="27">
        <v>2</v>
      </c>
      <c r="C4" s="52"/>
      <c r="D4" s="272" t="s">
        <v>907</v>
      </c>
      <c r="E4" s="222"/>
      <c r="F4" s="251">
        <v>23</v>
      </c>
      <c r="G4" s="220"/>
      <c r="H4" s="220"/>
      <c r="I4" s="48">
        <v>0</v>
      </c>
      <c r="J4" s="31"/>
      <c r="K4" s="49">
        <v>16</v>
      </c>
      <c r="L4" s="50" t="s">
        <v>11</v>
      </c>
      <c r="M4" s="31"/>
      <c r="N4" s="51">
        <v>14</v>
      </c>
      <c r="O4" s="53"/>
      <c r="P4" s="273" t="s">
        <v>908</v>
      </c>
      <c r="Q4" s="220"/>
      <c r="R4" s="253">
        <v>31</v>
      </c>
      <c r="S4" s="220"/>
      <c r="T4" s="220"/>
      <c r="U4" s="48">
        <v>0</v>
      </c>
    </row>
    <row r="5" spans="1:21" ht="15.6" x14ac:dyDescent="0.3">
      <c r="A5" s="47">
        <v>3</v>
      </c>
      <c r="B5" s="27">
        <v>3</v>
      </c>
      <c r="C5" s="52"/>
      <c r="D5" s="275" t="s">
        <v>909</v>
      </c>
      <c r="E5" s="228"/>
      <c r="F5" s="251">
        <v>30</v>
      </c>
      <c r="G5" s="220"/>
      <c r="H5" s="222"/>
      <c r="I5" s="48">
        <v>0</v>
      </c>
      <c r="J5" s="31"/>
      <c r="K5" s="49">
        <v>12</v>
      </c>
      <c r="L5" s="50" t="s">
        <v>11</v>
      </c>
      <c r="M5" s="31"/>
      <c r="N5" s="51">
        <v>5</v>
      </c>
      <c r="O5" s="53"/>
      <c r="P5" s="274" t="s">
        <v>910</v>
      </c>
      <c r="Q5" s="227"/>
      <c r="R5" s="255">
        <v>25</v>
      </c>
      <c r="S5" s="227"/>
      <c r="T5" s="228"/>
      <c r="U5" s="48">
        <v>0</v>
      </c>
    </row>
    <row r="6" spans="1:21" ht="17.399999999999999" x14ac:dyDescent="0.3">
      <c r="B6" s="54"/>
      <c r="C6" s="6"/>
      <c r="D6" s="55" t="s">
        <v>912</v>
      </c>
      <c r="E6" s="56">
        <v>1</v>
      </c>
      <c r="F6" s="9"/>
      <c r="G6" s="9"/>
      <c r="H6" s="9"/>
      <c r="I6" s="57"/>
      <c r="J6" s="57"/>
      <c r="K6" s="57"/>
      <c r="L6" s="57"/>
      <c r="M6" s="57"/>
      <c r="N6" s="57"/>
      <c r="O6" s="57"/>
      <c r="P6" s="55" t="s">
        <v>913</v>
      </c>
      <c r="Q6" s="259">
        <v>45461</v>
      </c>
      <c r="R6" s="224"/>
      <c r="S6" s="224"/>
      <c r="T6" s="224"/>
      <c r="U6" s="12"/>
    </row>
    <row r="7" spans="1:21" ht="15.6" x14ac:dyDescent="0.3">
      <c r="B7" s="58"/>
      <c r="C7" s="43"/>
      <c r="D7" s="10" t="s">
        <v>914</v>
      </c>
      <c r="E7" s="10"/>
      <c r="F7" s="8"/>
      <c r="G7" s="8"/>
      <c r="H7" s="8"/>
      <c r="I7" s="8"/>
      <c r="J7" s="8"/>
      <c r="K7" s="8"/>
      <c r="L7" s="8"/>
      <c r="M7" s="8"/>
      <c r="N7" s="8"/>
      <c r="O7" s="8"/>
      <c r="P7" s="11" t="s">
        <v>3</v>
      </c>
      <c r="Q7" s="260" t="s">
        <v>863</v>
      </c>
      <c r="R7" s="224"/>
      <c r="S7" s="224"/>
      <c r="T7" s="224"/>
      <c r="U7" s="8"/>
    </row>
    <row r="8" spans="1:21" ht="15.6" x14ac:dyDescent="0.3">
      <c r="B8" s="59"/>
      <c r="C8" s="60"/>
      <c r="D8" s="10"/>
      <c r="E8" s="10"/>
      <c r="F8" s="8"/>
      <c r="G8" s="8"/>
      <c r="H8" s="8"/>
      <c r="I8" s="8"/>
      <c r="J8" s="8"/>
      <c r="K8" s="8"/>
      <c r="L8" s="8"/>
      <c r="M8" s="8"/>
      <c r="N8" s="8"/>
      <c r="O8" s="8"/>
      <c r="P8" s="10"/>
      <c r="Q8" s="10"/>
      <c r="R8" s="10"/>
      <c r="S8" s="8"/>
      <c r="T8" s="8"/>
      <c r="U8" s="8"/>
    </row>
    <row r="9" spans="1:21" ht="17.399999999999999" x14ac:dyDescent="0.3">
      <c r="B9" s="139"/>
      <c r="C9" s="338" t="s">
        <v>859</v>
      </c>
      <c r="D9" s="220"/>
      <c r="E9" s="267" t="s">
        <v>904</v>
      </c>
      <c r="F9" s="220"/>
      <c r="G9" s="222"/>
      <c r="H9" s="140" t="s">
        <v>1970</v>
      </c>
      <c r="I9" s="141"/>
      <c r="J9" s="63"/>
      <c r="K9" s="63"/>
      <c r="L9" s="63"/>
      <c r="M9" s="63"/>
      <c r="N9" s="142"/>
      <c r="O9" s="339" t="s">
        <v>860</v>
      </c>
      <c r="P9" s="220"/>
      <c r="Q9" s="269" t="s">
        <v>905</v>
      </c>
      <c r="R9" s="220"/>
      <c r="S9" s="222"/>
      <c r="T9" s="143" t="s">
        <v>933</v>
      </c>
      <c r="U9" s="144"/>
    </row>
    <row r="10" spans="1:21" ht="17.399999999999999" x14ac:dyDescent="0.3">
      <c r="B10" s="145"/>
      <c r="C10" s="243" t="s">
        <v>2</v>
      </c>
      <c r="D10" s="222"/>
      <c r="E10" s="268">
        <v>35</v>
      </c>
      <c r="F10" s="220"/>
      <c r="G10" s="220"/>
      <c r="H10" s="146"/>
      <c r="I10" s="141"/>
      <c r="J10" s="62"/>
      <c r="K10" s="62"/>
      <c r="L10" s="62"/>
      <c r="M10" s="62"/>
      <c r="N10" s="142"/>
      <c r="O10" s="238" t="s">
        <v>2</v>
      </c>
      <c r="P10" s="222"/>
      <c r="Q10" s="270">
        <v>30</v>
      </c>
      <c r="R10" s="220"/>
      <c r="S10" s="220"/>
      <c r="T10" s="147"/>
      <c r="U10" s="144"/>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917</v>
      </c>
      <c r="H12" s="73" t="s">
        <v>918</v>
      </c>
      <c r="I12" s="66"/>
      <c r="J12" s="66"/>
      <c r="K12" s="66"/>
      <c r="L12" s="66"/>
      <c r="M12" s="74"/>
      <c r="N12" s="66"/>
      <c r="O12" s="68"/>
      <c r="P12" s="69"/>
      <c r="Q12" s="70"/>
      <c r="R12" s="71"/>
      <c r="S12" s="72" t="s">
        <v>917</v>
      </c>
      <c r="T12" s="73" t="s">
        <v>918</v>
      </c>
      <c r="U12" s="66"/>
    </row>
    <row r="13" spans="1:21" ht="15.75" customHeight="1" x14ac:dyDescent="0.25">
      <c r="A13" s="67"/>
      <c r="B13" s="66"/>
      <c r="C13" s="68" t="s">
        <v>919</v>
      </c>
      <c r="D13" s="75" t="s">
        <v>920</v>
      </c>
      <c r="E13" s="76"/>
      <c r="F13" s="77"/>
      <c r="G13" s="78">
        <v>6</v>
      </c>
      <c r="H13" s="79">
        <v>3</v>
      </c>
      <c r="I13" s="66"/>
      <c r="J13" s="66"/>
      <c r="K13" s="66"/>
      <c r="L13" s="66"/>
      <c r="M13" s="74"/>
      <c r="N13" s="66"/>
      <c r="O13" s="68" t="s">
        <v>921</v>
      </c>
      <c r="P13" s="75" t="s">
        <v>922</v>
      </c>
      <c r="Q13" s="76"/>
      <c r="R13" s="77"/>
      <c r="S13" s="78">
        <v>1</v>
      </c>
      <c r="T13" s="79">
        <v>8</v>
      </c>
      <c r="U13" s="66"/>
    </row>
    <row r="14" spans="1:21" ht="15.75" customHeight="1" x14ac:dyDescent="0.25">
      <c r="A14" s="67"/>
      <c r="B14" s="66"/>
      <c r="C14" s="68" t="s">
        <v>923</v>
      </c>
      <c r="D14" s="75" t="s">
        <v>924</v>
      </c>
      <c r="E14" s="76"/>
      <c r="F14" s="77"/>
      <c r="G14" s="78">
        <v>9</v>
      </c>
      <c r="H14" s="79">
        <v>0</v>
      </c>
      <c r="I14" s="66"/>
      <c r="J14" s="66"/>
      <c r="K14" s="66"/>
      <c r="L14" s="66"/>
      <c r="M14" s="74"/>
      <c r="N14" s="66"/>
      <c r="O14" s="68" t="s">
        <v>925</v>
      </c>
      <c r="P14" s="75" t="s">
        <v>926</v>
      </c>
      <c r="Q14" s="76"/>
      <c r="R14" s="77"/>
      <c r="S14" s="78">
        <v>0</v>
      </c>
      <c r="T14" s="79">
        <v>5</v>
      </c>
      <c r="U14" s="66"/>
    </row>
    <row r="15" spans="1:21" ht="15.75" customHeight="1" x14ac:dyDescent="0.25">
      <c r="A15" s="67"/>
      <c r="B15" s="66"/>
      <c r="C15" s="68" t="s">
        <v>927</v>
      </c>
      <c r="D15" s="75" t="s">
        <v>928</v>
      </c>
      <c r="E15" s="76"/>
      <c r="F15" s="77"/>
      <c r="G15" s="78">
        <v>4</v>
      </c>
      <c r="H15" s="79">
        <v>5</v>
      </c>
      <c r="I15" s="66"/>
      <c r="J15" s="66"/>
      <c r="K15" s="66"/>
      <c r="L15" s="66"/>
      <c r="M15" s="74"/>
      <c r="N15" s="66"/>
      <c r="O15" s="68" t="s">
        <v>929</v>
      </c>
      <c r="P15" s="75" t="s">
        <v>930</v>
      </c>
      <c r="Q15" s="76"/>
      <c r="R15" s="77"/>
      <c r="S15" s="78">
        <v>5</v>
      </c>
      <c r="T15" s="79">
        <v>3</v>
      </c>
      <c r="U15" s="66"/>
    </row>
    <row r="16" spans="1:21" ht="15.75" customHeight="1" x14ac:dyDescent="0.25">
      <c r="A16" s="67"/>
      <c r="B16" s="66"/>
      <c r="C16" s="68" t="s">
        <v>931</v>
      </c>
      <c r="D16" s="75" t="s">
        <v>932</v>
      </c>
      <c r="E16" s="76"/>
      <c r="F16" s="77"/>
      <c r="G16" s="78">
        <v>5</v>
      </c>
      <c r="H16" s="79">
        <v>3</v>
      </c>
      <c r="I16" s="66"/>
      <c r="J16" s="66"/>
      <c r="K16" s="66"/>
      <c r="L16" s="66"/>
      <c r="M16" s="74"/>
      <c r="N16" s="66"/>
      <c r="O16" s="68" t="s">
        <v>933</v>
      </c>
      <c r="P16" s="75" t="s">
        <v>934</v>
      </c>
      <c r="Q16" s="76"/>
      <c r="R16" s="77"/>
      <c r="S16" s="78">
        <v>5</v>
      </c>
      <c r="T16" s="79">
        <v>3</v>
      </c>
      <c r="U16" s="66"/>
    </row>
    <row r="17" spans="1:21" ht="15.75" customHeight="1" x14ac:dyDescent="0.25">
      <c r="A17" s="67"/>
      <c r="B17" s="66"/>
      <c r="C17" s="80"/>
      <c r="D17" s="81" t="s">
        <v>935</v>
      </c>
      <c r="E17" s="82"/>
      <c r="F17" s="83"/>
      <c r="G17" s="72">
        <v>24</v>
      </c>
      <c r="H17" s="73">
        <v>11</v>
      </c>
      <c r="I17" s="66"/>
      <c r="J17" s="66"/>
      <c r="K17" s="66"/>
      <c r="L17" s="66"/>
      <c r="M17" s="74"/>
      <c r="N17" s="66"/>
      <c r="O17" s="80"/>
      <c r="P17" s="81" t="s">
        <v>935</v>
      </c>
      <c r="Q17" s="82"/>
      <c r="R17" s="83"/>
      <c r="S17" s="72">
        <v>11</v>
      </c>
      <c r="T17" s="73">
        <v>19</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919</v>
      </c>
      <c r="B21" s="84"/>
      <c r="C21" s="85" t="s">
        <v>936</v>
      </c>
      <c r="D21" s="86" t="s">
        <v>920</v>
      </c>
      <c r="E21" s="87" t="s">
        <v>2</v>
      </c>
      <c r="F21" s="87" t="s">
        <v>937</v>
      </c>
      <c r="G21" s="87" t="s">
        <v>917</v>
      </c>
      <c r="H21" s="87" t="s">
        <v>918</v>
      </c>
      <c r="I21" s="91"/>
      <c r="J21" s="89"/>
      <c r="K21" s="89"/>
      <c r="L21" s="89"/>
      <c r="M21" s="90" t="s">
        <v>921</v>
      </c>
      <c r="N21" s="91"/>
      <c r="O21" s="85" t="s">
        <v>936</v>
      </c>
      <c r="P21" s="86" t="s">
        <v>922</v>
      </c>
      <c r="Q21" s="87" t="s">
        <v>2</v>
      </c>
      <c r="R21" s="87" t="s">
        <v>937</v>
      </c>
      <c r="S21" s="87" t="s">
        <v>917</v>
      </c>
      <c r="T21" s="87" t="s">
        <v>918</v>
      </c>
      <c r="U21" s="91"/>
    </row>
    <row r="22" spans="1:21" ht="15.75" customHeight="1" x14ac:dyDescent="0.25">
      <c r="A22" s="67" t="s">
        <v>919</v>
      </c>
      <c r="B22" s="84"/>
      <c r="C22" s="92">
        <v>1</v>
      </c>
      <c r="D22" s="93" t="s">
        <v>1971</v>
      </c>
      <c r="E22" s="94" t="s">
        <v>365</v>
      </c>
      <c r="F22" s="92" t="s">
        <v>1970</v>
      </c>
      <c r="G22" s="92">
        <v>5</v>
      </c>
      <c r="H22" s="92" t="s">
        <v>29</v>
      </c>
      <c r="I22" s="115" t="s">
        <v>29</v>
      </c>
      <c r="J22" s="89"/>
      <c r="K22" s="89"/>
      <c r="L22" s="89"/>
      <c r="M22" s="96" t="s">
        <v>921</v>
      </c>
      <c r="N22" s="84"/>
      <c r="O22" s="92">
        <v>1</v>
      </c>
      <c r="P22" s="93" t="s">
        <v>1972</v>
      </c>
      <c r="Q22" s="94" t="s">
        <v>717</v>
      </c>
      <c r="R22" s="92" t="s">
        <v>933</v>
      </c>
      <c r="S22" s="92" t="s">
        <v>29</v>
      </c>
      <c r="T22" s="92">
        <v>5</v>
      </c>
      <c r="U22" s="115" t="s">
        <v>29</v>
      </c>
    </row>
    <row r="23" spans="1:21" ht="15.75" customHeight="1" x14ac:dyDescent="0.25">
      <c r="A23" s="67" t="s">
        <v>919</v>
      </c>
      <c r="B23" s="84"/>
      <c r="C23" s="92">
        <v>2</v>
      </c>
      <c r="D23" s="93" t="s">
        <v>1973</v>
      </c>
      <c r="E23" s="97" t="s">
        <v>493</v>
      </c>
      <c r="F23" s="92" t="s">
        <v>933</v>
      </c>
      <c r="G23" s="92" t="s">
        <v>29</v>
      </c>
      <c r="H23" s="92">
        <v>3</v>
      </c>
      <c r="I23" s="115" t="s">
        <v>29</v>
      </c>
      <c r="J23" s="89"/>
      <c r="K23" s="89"/>
      <c r="L23" s="89"/>
      <c r="M23" s="96" t="s">
        <v>921</v>
      </c>
      <c r="N23" s="84"/>
      <c r="O23" s="92">
        <v>2</v>
      </c>
      <c r="P23" s="93" t="s">
        <v>1974</v>
      </c>
      <c r="Q23" s="97" t="s">
        <v>715</v>
      </c>
      <c r="R23" s="92" t="s">
        <v>933</v>
      </c>
      <c r="S23" s="92" t="s">
        <v>29</v>
      </c>
      <c r="T23" s="92">
        <v>3</v>
      </c>
      <c r="U23" s="115" t="s">
        <v>29</v>
      </c>
    </row>
    <row r="24" spans="1:21" ht="15.75" customHeight="1" x14ac:dyDescent="0.25">
      <c r="A24" s="67" t="s">
        <v>919</v>
      </c>
      <c r="B24" s="84"/>
      <c r="C24" s="92">
        <v>3</v>
      </c>
      <c r="D24" s="93" t="s">
        <v>1975</v>
      </c>
      <c r="E24" s="97" t="s">
        <v>569</v>
      </c>
      <c r="F24" s="92" t="s">
        <v>1970</v>
      </c>
      <c r="G24" s="92">
        <v>1</v>
      </c>
      <c r="H24" s="92" t="s">
        <v>29</v>
      </c>
      <c r="I24" s="115" t="s">
        <v>29</v>
      </c>
      <c r="J24" s="89"/>
      <c r="K24" s="89"/>
      <c r="L24" s="89"/>
      <c r="M24" s="96" t="s">
        <v>921</v>
      </c>
      <c r="N24" s="84"/>
      <c r="O24" s="92">
        <v>3</v>
      </c>
      <c r="P24" s="93" t="s">
        <v>1976</v>
      </c>
      <c r="Q24" s="97" t="s">
        <v>573</v>
      </c>
      <c r="R24" s="92" t="s">
        <v>1970</v>
      </c>
      <c r="S24" s="92">
        <v>1</v>
      </c>
      <c r="T24" s="92" t="s">
        <v>29</v>
      </c>
      <c r="U24" s="115" t="s">
        <v>29</v>
      </c>
    </row>
    <row r="25" spans="1:21" ht="15.75" customHeight="1" x14ac:dyDescent="0.25">
      <c r="A25" s="67" t="s">
        <v>919</v>
      </c>
      <c r="B25" s="84"/>
      <c r="C25" s="92">
        <v>4</v>
      </c>
      <c r="D25" s="93" t="s">
        <v>1977</v>
      </c>
      <c r="E25" s="97" t="s">
        <v>571</v>
      </c>
      <c r="F25" s="92" t="s">
        <v>1970</v>
      </c>
      <c r="G25" s="92" t="s">
        <v>29</v>
      </c>
      <c r="H25" s="92" t="s">
        <v>29</v>
      </c>
      <c r="I25" s="115" t="s">
        <v>29</v>
      </c>
      <c r="J25" s="89"/>
      <c r="K25" s="89"/>
      <c r="L25" s="89"/>
      <c r="M25" s="96" t="s">
        <v>921</v>
      </c>
      <c r="N25" s="84"/>
      <c r="O25" s="92">
        <v>4</v>
      </c>
      <c r="P25" s="93" t="s">
        <v>1978</v>
      </c>
      <c r="Q25" s="97" t="s">
        <v>716</v>
      </c>
      <c r="R25" s="92" t="s">
        <v>933</v>
      </c>
      <c r="S25" s="92" t="s">
        <v>29</v>
      </c>
      <c r="T25" s="92" t="s">
        <v>29</v>
      </c>
      <c r="U25" s="115" t="s">
        <v>29</v>
      </c>
    </row>
    <row r="26" spans="1:21" ht="15.75" customHeight="1" x14ac:dyDescent="0.25">
      <c r="A26" s="67" t="s">
        <v>919</v>
      </c>
      <c r="B26" s="84"/>
      <c r="C26" s="92">
        <v>5</v>
      </c>
      <c r="D26" s="93" t="s">
        <v>1979</v>
      </c>
      <c r="E26" s="97" t="s">
        <v>572</v>
      </c>
      <c r="F26" s="92" t="s">
        <v>1970</v>
      </c>
      <c r="G26" s="92" t="s">
        <v>29</v>
      </c>
      <c r="H26" s="92" t="s">
        <v>29</v>
      </c>
      <c r="I26" s="115" t="s">
        <v>29</v>
      </c>
      <c r="J26" s="89"/>
      <c r="K26" s="89"/>
      <c r="L26" s="89"/>
      <c r="M26" s="96" t="s">
        <v>921</v>
      </c>
      <c r="N26" s="84"/>
      <c r="O26" s="92">
        <v>5</v>
      </c>
      <c r="P26" s="93" t="s">
        <v>1980</v>
      </c>
      <c r="Q26" s="97" t="s">
        <v>714</v>
      </c>
      <c r="R26" s="92" t="s">
        <v>933</v>
      </c>
      <c r="S26" s="92" t="s">
        <v>29</v>
      </c>
      <c r="T26" s="92" t="s">
        <v>29</v>
      </c>
      <c r="U26" s="115" t="s">
        <v>29</v>
      </c>
    </row>
    <row r="27" spans="1:21" ht="15.75" customHeight="1" x14ac:dyDescent="0.25">
      <c r="A27" s="67" t="s">
        <v>919</v>
      </c>
      <c r="B27" s="84"/>
      <c r="C27" s="92">
        <v>6</v>
      </c>
      <c r="D27" s="93" t="s">
        <v>1981</v>
      </c>
      <c r="E27" s="97" t="s">
        <v>570</v>
      </c>
      <c r="F27" s="92" t="s">
        <v>1970</v>
      </c>
      <c r="G27" s="92" t="s">
        <v>29</v>
      </c>
      <c r="H27" s="92" t="s">
        <v>29</v>
      </c>
      <c r="I27" s="115" t="s">
        <v>29</v>
      </c>
      <c r="J27" s="89"/>
      <c r="K27" s="89"/>
      <c r="L27" s="89"/>
      <c r="M27" s="96" t="s">
        <v>921</v>
      </c>
      <c r="N27" s="84"/>
      <c r="O27" s="92">
        <v>6</v>
      </c>
      <c r="P27" s="93" t="s">
        <v>1982</v>
      </c>
      <c r="Q27" s="97" t="s">
        <v>574</v>
      </c>
      <c r="R27" s="92" t="s">
        <v>1970</v>
      </c>
      <c r="S27" s="92" t="s">
        <v>29</v>
      </c>
      <c r="T27" s="92" t="s">
        <v>29</v>
      </c>
      <c r="U27" s="115" t="s">
        <v>29</v>
      </c>
    </row>
    <row r="28" spans="1:21" ht="15.75" customHeight="1" x14ac:dyDescent="0.25">
      <c r="A28" s="67" t="s">
        <v>919</v>
      </c>
      <c r="B28" s="84"/>
      <c r="C28" s="92">
        <v>7</v>
      </c>
      <c r="D28" s="93" t="s">
        <v>1983</v>
      </c>
      <c r="E28" s="97" t="s">
        <v>271</v>
      </c>
      <c r="F28" s="92" t="s">
        <v>1970</v>
      </c>
      <c r="G28" s="92" t="s">
        <v>29</v>
      </c>
      <c r="H28" s="92" t="s">
        <v>29</v>
      </c>
      <c r="I28" s="115" t="s">
        <v>29</v>
      </c>
      <c r="J28" s="89"/>
      <c r="K28" s="89"/>
      <c r="L28" s="89"/>
      <c r="M28" s="96" t="s">
        <v>921</v>
      </c>
      <c r="N28" s="84"/>
      <c r="O28" s="92">
        <v>7</v>
      </c>
      <c r="P28" s="93" t="s">
        <v>1984</v>
      </c>
      <c r="Q28" s="97" t="s">
        <v>575</v>
      </c>
      <c r="R28" s="92" t="s">
        <v>1970</v>
      </c>
      <c r="S28" s="92" t="s">
        <v>29</v>
      </c>
      <c r="T28" s="92" t="s">
        <v>29</v>
      </c>
      <c r="U28" s="115" t="s">
        <v>29</v>
      </c>
    </row>
    <row r="29" spans="1:21" ht="15.75" customHeight="1" x14ac:dyDescent="0.25">
      <c r="A29" s="67" t="s">
        <v>919</v>
      </c>
      <c r="B29" s="84"/>
      <c r="C29" s="92">
        <v>8</v>
      </c>
      <c r="D29" s="98" t="s">
        <v>1985</v>
      </c>
      <c r="E29" s="97" t="s">
        <v>200</v>
      </c>
      <c r="F29" s="92" t="s">
        <v>1970</v>
      </c>
      <c r="G29" s="92" t="s">
        <v>29</v>
      </c>
      <c r="H29" s="92" t="s">
        <v>29</v>
      </c>
      <c r="I29" s="115" t="s">
        <v>29</v>
      </c>
      <c r="J29" s="89"/>
      <c r="K29" s="89"/>
      <c r="L29" s="89"/>
      <c r="M29" s="96" t="s">
        <v>29</v>
      </c>
      <c r="N29" s="84"/>
      <c r="O29" s="92" t="s">
        <v>29</v>
      </c>
      <c r="P29" s="93" t="s">
        <v>29</v>
      </c>
      <c r="Q29" s="97" t="s">
        <v>29</v>
      </c>
      <c r="R29" s="92" t="s">
        <v>29</v>
      </c>
      <c r="S29" s="92" t="s">
        <v>29</v>
      </c>
      <c r="T29" s="92" t="s">
        <v>29</v>
      </c>
      <c r="U29" s="115" t="s">
        <v>29</v>
      </c>
    </row>
    <row r="30" spans="1:21" ht="15.75" customHeight="1" x14ac:dyDescent="0.25">
      <c r="A30" s="67" t="s">
        <v>919</v>
      </c>
      <c r="B30" s="84"/>
      <c r="C30" s="92">
        <v>9</v>
      </c>
      <c r="D30" s="98" t="s">
        <v>1986</v>
      </c>
      <c r="E30" s="97" t="s">
        <v>712</v>
      </c>
      <c r="F30" s="92" t="s">
        <v>933</v>
      </c>
      <c r="G30" s="92" t="s">
        <v>29</v>
      </c>
      <c r="H30" s="92" t="s">
        <v>29</v>
      </c>
      <c r="I30" s="115" t="s">
        <v>29</v>
      </c>
      <c r="J30" s="89"/>
      <c r="K30" s="89"/>
      <c r="L30" s="89"/>
      <c r="M30" s="96" t="s">
        <v>29</v>
      </c>
      <c r="N30" s="84"/>
      <c r="O30" s="92" t="s">
        <v>29</v>
      </c>
      <c r="P30" s="93" t="s">
        <v>29</v>
      </c>
      <c r="Q30" s="97" t="s">
        <v>29</v>
      </c>
      <c r="R30" s="92" t="s">
        <v>29</v>
      </c>
      <c r="S30" s="92" t="s">
        <v>29</v>
      </c>
      <c r="T30" s="92" t="s">
        <v>29</v>
      </c>
      <c r="U30" s="115" t="s">
        <v>29</v>
      </c>
    </row>
    <row r="31" spans="1:21" ht="13.2" x14ac:dyDescent="0.25">
      <c r="A31" s="67" t="s">
        <v>919</v>
      </c>
      <c r="B31" s="84"/>
      <c r="C31" s="92">
        <v>10</v>
      </c>
      <c r="D31" s="98" t="s">
        <v>1987</v>
      </c>
      <c r="E31" s="97" t="s">
        <v>711</v>
      </c>
      <c r="F31" s="92" t="s">
        <v>933</v>
      </c>
      <c r="G31" s="92" t="s">
        <v>29</v>
      </c>
      <c r="H31" s="92" t="s">
        <v>29</v>
      </c>
      <c r="I31" s="115" t="s">
        <v>29</v>
      </c>
      <c r="J31" s="89"/>
      <c r="K31" s="89"/>
      <c r="L31" s="89"/>
      <c r="M31" s="96" t="s">
        <v>29</v>
      </c>
      <c r="N31" s="84"/>
      <c r="O31" s="92" t="s">
        <v>29</v>
      </c>
      <c r="P31" s="93" t="s">
        <v>29</v>
      </c>
      <c r="Q31" s="97" t="s">
        <v>29</v>
      </c>
      <c r="R31" s="92" t="s">
        <v>29</v>
      </c>
      <c r="S31" s="92" t="s">
        <v>29</v>
      </c>
      <c r="T31" s="92" t="s">
        <v>29</v>
      </c>
      <c r="U31" s="115" t="s">
        <v>29</v>
      </c>
    </row>
    <row r="32" spans="1:21" ht="13.2" x14ac:dyDescent="0.25">
      <c r="A32" s="67" t="s">
        <v>29</v>
      </c>
      <c r="B32" s="84"/>
      <c r="C32" s="92" t="s">
        <v>29</v>
      </c>
      <c r="D32" s="98" t="s">
        <v>29</v>
      </c>
      <c r="E32" s="97" t="s">
        <v>29</v>
      </c>
      <c r="F32" s="92" t="s">
        <v>29</v>
      </c>
      <c r="G32" s="92" t="s">
        <v>29</v>
      </c>
      <c r="H32" s="92" t="s">
        <v>29</v>
      </c>
      <c r="I32" s="115" t="s">
        <v>29</v>
      </c>
      <c r="J32" s="89"/>
      <c r="K32" s="89"/>
      <c r="L32" s="89"/>
      <c r="M32" s="96" t="s">
        <v>29</v>
      </c>
      <c r="N32" s="84"/>
      <c r="O32" s="92" t="s">
        <v>29</v>
      </c>
      <c r="P32" s="93" t="s">
        <v>29</v>
      </c>
      <c r="Q32" s="97" t="s">
        <v>29</v>
      </c>
      <c r="R32" s="92" t="s">
        <v>29</v>
      </c>
      <c r="S32" s="92" t="s">
        <v>29</v>
      </c>
      <c r="T32" s="92" t="s">
        <v>29</v>
      </c>
      <c r="U32" s="115" t="s">
        <v>29</v>
      </c>
    </row>
    <row r="33" spans="1:21" ht="13.2" x14ac:dyDescent="0.25">
      <c r="A33" s="67" t="s">
        <v>29</v>
      </c>
      <c r="B33" s="84"/>
      <c r="C33" s="92" t="s">
        <v>29</v>
      </c>
      <c r="D33" s="98" t="s">
        <v>29</v>
      </c>
      <c r="E33" s="97" t="s">
        <v>29</v>
      </c>
      <c r="F33" s="92" t="s">
        <v>29</v>
      </c>
      <c r="G33" s="92" t="s">
        <v>29</v>
      </c>
      <c r="H33" s="92" t="s">
        <v>29</v>
      </c>
      <c r="I33" s="115" t="s">
        <v>29</v>
      </c>
      <c r="J33" s="89"/>
      <c r="K33" s="89"/>
      <c r="L33" s="89"/>
      <c r="M33" s="96" t="s">
        <v>29</v>
      </c>
      <c r="N33" s="84"/>
      <c r="O33" s="92" t="s">
        <v>29</v>
      </c>
      <c r="P33" s="98" t="s">
        <v>29</v>
      </c>
      <c r="Q33" s="97" t="s">
        <v>29</v>
      </c>
      <c r="R33" s="92" t="s">
        <v>29</v>
      </c>
      <c r="S33" s="92" t="s">
        <v>29</v>
      </c>
      <c r="T33" s="92" t="s">
        <v>29</v>
      </c>
      <c r="U33" s="115" t="s">
        <v>29</v>
      </c>
    </row>
    <row r="34" spans="1:21" ht="13.2" x14ac:dyDescent="0.25">
      <c r="A34" s="67" t="s">
        <v>29</v>
      </c>
      <c r="B34" s="84"/>
      <c r="C34" s="92" t="s">
        <v>29</v>
      </c>
      <c r="D34" s="98" t="s">
        <v>29</v>
      </c>
      <c r="E34" s="97" t="s">
        <v>29</v>
      </c>
      <c r="F34" s="92" t="s">
        <v>29</v>
      </c>
      <c r="G34" s="92" t="s">
        <v>29</v>
      </c>
      <c r="H34" s="92" t="s">
        <v>29</v>
      </c>
      <c r="I34" s="115" t="s">
        <v>29</v>
      </c>
      <c r="J34" s="89"/>
      <c r="K34" s="89"/>
      <c r="L34" s="89"/>
      <c r="M34" s="96" t="s">
        <v>29</v>
      </c>
      <c r="N34" s="84"/>
      <c r="O34" s="92" t="s">
        <v>29</v>
      </c>
      <c r="P34" s="98" t="s">
        <v>29</v>
      </c>
      <c r="Q34" s="97" t="s">
        <v>29</v>
      </c>
      <c r="R34" s="92" t="s">
        <v>29</v>
      </c>
      <c r="S34" s="92" t="s">
        <v>29</v>
      </c>
      <c r="T34" s="92" t="s">
        <v>29</v>
      </c>
      <c r="U34" s="115" t="s">
        <v>29</v>
      </c>
    </row>
    <row r="35" spans="1:21" ht="13.2" x14ac:dyDescent="0.25">
      <c r="A35" s="67" t="s">
        <v>29</v>
      </c>
      <c r="B35" s="84"/>
      <c r="C35" s="92" t="s">
        <v>29</v>
      </c>
      <c r="D35" s="98" t="s">
        <v>29</v>
      </c>
      <c r="E35" s="97" t="s">
        <v>29</v>
      </c>
      <c r="F35" s="92" t="s">
        <v>29</v>
      </c>
      <c r="G35" s="92" t="s">
        <v>29</v>
      </c>
      <c r="H35" s="92" t="s">
        <v>29</v>
      </c>
      <c r="I35" s="115" t="s">
        <v>29</v>
      </c>
      <c r="J35" s="89"/>
      <c r="K35" s="89"/>
      <c r="L35" s="89"/>
      <c r="M35" s="96" t="s">
        <v>29</v>
      </c>
      <c r="N35" s="84"/>
      <c r="O35" s="92" t="s">
        <v>29</v>
      </c>
      <c r="P35" s="98" t="s">
        <v>29</v>
      </c>
      <c r="Q35" s="97" t="s">
        <v>29</v>
      </c>
      <c r="R35" s="92" t="s">
        <v>29</v>
      </c>
      <c r="S35" s="92" t="s">
        <v>29</v>
      </c>
      <c r="T35" s="92" t="s">
        <v>29</v>
      </c>
      <c r="U35" s="115" t="s">
        <v>29</v>
      </c>
    </row>
    <row r="36" spans="1:21" ht="13.2" x14ac:dyDescent="0.25">
      <c r="A36" s="67" t="s">
        <v>29</v>
      </c>
      <c r="B36" s="84"/>
      <c r="C36" s="92" t="s">
        <v>29</v>
      </c>
      <c r="D36" s="98" t="s">
        <v>29</v>
      </c>
      <c r="E36" s="97" t="s">
        <v>29</v>
      </c>
      <c r="F36" s="92" t="s">
        <v>29</v>
      </c>
      <c r="G36" s="92" t="s">
        <v>29</v>
      </c>
      <c r="H36" s="92" t="s">
        <v>29</v>
      </c>
      <c r="I36" s="115" t="s">
        <v>29</v>
      </c>
      <c r="J36" s="89"/>
      <c r="K36" s="89"/>
      <c r="L36" s="89"/>
      <c r="M36" s="96" t="s">
        <v>29</v>
      </c>
      <c r="N36" s="84"/>
      <c r="O36" s="92" t="s">
        <v>29</v>
      </c>
      <c r="P36" s="98" t="s">
        <v>29</v>
      </c>
      <c r="Q36" s="97" t="s">
        <v>29</v>
      </c>
      <c r="R36" s="92" t="s">
        <v>29</v>
      </c>
      <c r="S36" s="92" t="s">
        <v>29</v>
      </c>
      <c r="T36" s="92" t="s">
        <v>29</v>
      </c>
      <c r="U36" s="115" t="s">
        <v>29</v>
      </c>
    </row>
    <row r="37" spans="1:21" ht="13.2" x14ac:dyDescent="0.25">
      <c r="A37" s="67" t="s">
        <v>29</v>
      </c>
      <c r="B37" s="84"/>
      <c r="C37" s="92" t="s">
        <v>29</v>
      </c>
      <c r="D37" s="98" t="s">
        <v>29</v>
      </c>
      <c r="E37" s="97" t="s">
        <v>29</v>
      </c>
      <c r="F37" s="92" t="s">
        <v>29</v>
      </c>
      <c r="G37" s="92" t="s">
        <v>29</v>
      </c>
      <c r="H37" s="92" t="s">
        <v>29</v>
      </c>
      <c r="I37" s="115" t="s">
        <v>29</v>
      </c>
      <c r="J37" s="89"/>
      <c r="K37" s="89"/>
      <c r="L37" s="89"/>
      <c r="M37" s="96" t="s">
        <v>29</v>
      </c>
      <c r="N37" s="84"/>
      <c r="O37" s="92" t="s">
        <v>29</v>
      </c>
      <c r="P37" s="98" t="s">
        <v>29</v>
      </c>
      <c r="Q37" s="97" t="s">
        <v>29</v>
      </c>
      <c r="R37" s="92" t="s">
        <v>29</v>
      </c>
      <c r="S37" s="92" t="s">
        <v>29</v>
      </c>
      <c r="T37" s="92" t="s">
        <v>29</v>
      </c>
      <c r="U37" s="115" t="s">
        <v>29</v>
      </c>
    </row>
    <row r="38" spans="1:21" ht="13.2" x14ac:dyDescent="0.25">
      <c r="A38" s="67" t="s">
        <v>29</v>
      </c>
      <c r="B38" s="84"/>
      <c r="C38" s="92" t="s">
        <v>29</v>
      </c>
      <c r="D38" s="98" t="s">
        <v>29</v>
      </c>
      <c r="E38" s="97" t="s">
        <v>29</v>
      </c>
      <c r="F38" s="92" t="s">
        <v>29</v>
      </c>
      <c r="G38" s="92" t="s">
        <v>29</v>
      </c>
      <c r="H38" s="92" t="s">
        <v>29</v>
      </c>
      <c r="I38" s="115" t="s">
        <v>29</v>
      </c>
      <c r="J38" s="89"/>
      <c r="K38" s="89"/>
      <c r="L38" s="89"/>
      <c r="M38" s="96" t="s">
        <v>29</v>
      </c>
      <c r="N38" s="84"/>
      <c r="O38" s="92" t="s">
        <v>29</v>
      </c>
      <c r="P38" s="98" t="s">
        <v>29</v>
      </c>
      <c r="Q38" s="97" t="s">
        <v>29</v>
      </c>
      <c r="R38" s="92" t="s">
        <v>29</v>
      </c>
      <c r="S38" s="92" t="s">
        <v>29</v>
      </c>
      <c r="T38" s="92" t="s">
        <v>29</v>
      </c>
      <c r="U38" s="115" t="s">
        <v>29</v>
      </c>
    </row>
    <row r="39" spans="1:21" ht="13.2" x14ac:dyDescent="0.25">
      <c r="A39" s="67" t="s">
        <v>29</v>
      </c>
      <c r="B39" s="84"/>
      <c r="C39" s="92" t="s">
        <v>29</v>
      </c>
      <c r="D39" s="98" t="s">
        <v>29</v>
      </c>
      <c r="E39" s="97" t="s">
        <v>29</v>
      </c>
      <c r="F39" s="92" t="s">
        <v>29</v>
      </c>
      <c r="G39" s="92" t="s">
        <v>29</v>
      </c>
      <c r="H39" s="92" t="s">
        <v>29</v>
      </c>
      <c r="I39" s="115" t="s">
        <v>29</v>
      </c>
      <c r="J39" s="89"/>
      <c r="K39" s="89"/>
      <c r="L39" s="89"/>
      <c r="M39" s="96" t="s">
        <v>29</v>
      </c>
      <c r="N39" s="84"/>
      <c r="O39" s="92" t="s">
        <v>29</v>
      </c>
      <c r="P39" s="98" t="s">
        <v>29</v>
      </c>
      <c r="Q39" s="97" t="s">
        <v>29</v>
      </c>
      <c r="R39" s="92" t="s">
        <v>29</v>
      </c>
      <c r="S39" s="92" t="s">
        <v>29</v>
      </c>
      <c r="T39" s="92" t="s">
        <v>29</v>
      </c>
      <c r="U39" s="115" t="s">
        <v>29</v>
      </c>
    </row>
    <row r="40" spans="1:21" ht="13.2" x14ac:dyDescent="0.25">
      <c r="A40" s="67" t="s">
        <v>29</v>
      </c>
      <c r="B40" s="84"/>
      <c r="C40" s="92" t="s">
        <v>29</v>
      </c>
      <c r="D40" s="98" t="s">
        <v>29</v>
      </c>
      <c r="E40" s="97" t="s">
        <v>29</v>
      </c>
      <c r="F40" s="92" t="s">
        <v>29</v>
      </c>
      <c r="G40" s="92" t="s">
        <v>29</v>
      </c>
      <c r="H40" s="92" t="s">
        <v>29</v>
      </c>
      <c r="I40" s="115" t="s">
        <v>29</v>
      </c>
      <c r="J40" s="89"/>
      <c r="K40" s="89"/>
      <c r="L40" s="89"/>
      <c r="M40" s="96" t="s">
        <v>29</v>
      </c>
      <c r="N40" s="84"/>
      <c r="O40" s="92" t="s">
        <v>29</v>
      </c>
      <c r="P40" s="98" t="s">
        <v>29</v>
      </c>
      <c r="Q40" s="97" t="s">
        <v>29</v>
      </c>
      <c r="R40" s="92" t="s">
        <v>29</v>
      </c>
      <c r="S40" s="92" t="s">
        <v>29</v>
      </c>
      <c r="T40" s="92" t="s">
        <v>29</v>
      </c>
      <c r="U40" s="115" t="s">
        <v>29</v>
      </c>
    </row>
    <row r="41" spans="1:21" ht="13.2" x14ac:dyDescent="0.25">
      <c r="A41" s="67" t="s">
        <v>29</v>
      </c>
      <c r="B41" s="84"/>
      <c r="C41" s="92" t="s">
        <v>29</v>
      </c>
      <c r="D41" s="98" t="s">
        <v>29</v>
      </c>
      <c r="E41" s="97" t="s">
        <v>29</v>
      </c>
      <c r="F41" s="92" t="s">
        <v>29</v>
      </c>
      <c r="G41" s="92" t="s">
        <v>29</v>
      </c>
      <c r="H41" s="92" t="s">
        <v>29</v>
      </c>
      <c r="I41" s="115" t="s">
        <v>29</v>
      </c>
      <c r="J41" s="89"/>
      <c r="K41" s="89"/>
      <c r="L41" s="89"/>
      <c r="M41" s="96" t="s">
        <v>29</v>
      </c>
      <c r="N41" s="84"/>
      <c r="O41" s="92" t="s">
        <v>29</v>
      </c>
      <c r="P41" s="98" t="s">
        <v>29</v>
      </c>
      <c r="Q41" s="97" t="s">
        <v>29</v>
      </c>
      <c r="R41" s="92" t="s">
        <v>29</v>
      </c>
      <c r="S41" s="92" t="s">
        <v>29</v>
      </c>
      <c r="T41" s="92" t="s">
        <v>29</v>
      </c>
      <c r="U41" s="115" t="s">
        <v>29</v>
      </c>
    </row>
    <row r="42" spans="1:21" ht="13.2" x14ac:dyDescent="0.25">
      <c r="A42" s="67" t="s">
        <v>29</v>
      </c>
      <c r="B42" s="84"/>
      <c r="C42" s="92" t="s">
        <v>29</v>
      </c>
      <c r="D42" s="98" t="s">
        <v>29</v>
      </c>
      <c r="E42" s="97" t="s">
        <v>29</v>
      </c>
      <c r="F42" s="92" t="s">
        <v>29</v>
      </c>
      <c r="G42" s="92" t="s">
        <v>29</v>
      </c>
      <c r="H42" s="92" t="s">
        <v>29</v>
      </c>
      <c r="I42" s="115" t="s">
        <v>29</v>
      </c>
      <c r="J42" s="89"/>
      <c r="K42" s="89"/>
      <c r="L42" s="89"/>
      <c r="M42" s="96" t="s">
        <v>29</v>
      </c>
      <c r="N42" s="84"/>
      <c r="O42" s="92" t="s">
        <v>29</v>
      </c>
      <c r="P42" s="98" t="s">
        <v>29</v>
      </c>
      <c r="Q42" s="97" t="s">
        <v>29</v>
      </c>
      <c r="R42" s="92" t="s">
        <v>29</v>
      </c>
      <c r="S42" s="92" t="s">
        <v>29</v>
      </c>
      <c r="T42" s="92" t="s">
        <v>29</v>
      </c>
      <c r="U42" s="115" t="s">
        <v>29</v>
      </c>
    </row>
    <row r="43" spans="1:21" ht="13.2" x14ac:dyDescent="0.25">
      <c r="A43" s="67" t="s">
        <v>29</v>
      </c>
      <c r="B43" s="84"/>
      <c r="C43" s="92" t="s">
        <v>29</v>
      </c>
      <c r="D43" s="98" t="s">
        <v>29</v>
      </c>
      <c r="E43" s="97" t="s">
        <v>29</v>
      </c>
      <c r="F43" s="92" t="s">
        <v>29</v>
      </c>
      <c r="G43" s="92" t="s">
        <v>29</v>
      </c>
      <c r="H43" s="92" t="s">
        <v>29</v>
      </c>
      <c r="I43" s="115" t="s">
        <v>29</v>
      </c>
      <c r="J43" s="89"/>
      <c r="K43" s="89"/>
      <c r="L43" s="89"/>
      <c r="M43" s="96" t="s">
        <v>29</v>
      </c>
      <c r="N43" s="84"/>
      <c r="O43" s="92" t="s">
        <v>29</v>
      </c>
      <c r="P43" s="98" t="s">
        <v>29</v>
      </c>
      <c r="Q43" s="97" t="s">
        <v>29</v>
      </c>
      <c r="R43" s="92" t="s">
        <v>29</v>
      </c>
      <c r="S43" s="92" t="s">
        <v>29</v>
      </c>
      <c r="T43" s="92" t="s">
        <v>29</v>
      </c>
      <c r="U43" s="115" t="s">
        <v>29</v>
      </c>
    </row>
    <row r="44" spans="1:21" ht="13.2" x14ac:dyDescent="0.25">
      <c r="A44" s="67" t="s">
        <v>29</v>
      </c>
      <c r="B44" s="84"/>
      <c r="C44" s="92" t="s">
        <v>29</v>
      </c>
      <c r="D44" s="98" t="s">
        <v>29</v>
      </c>
      <c r="E44" s="97" t="s">
        <v>29</v>
      </c>
      <c r="F44" s="92" t="s">
        <v>29</v>
      </c>
      <c r="G44" s="92" t="s">
        <v>29</v>
      </c>
      <c r="H44" s="92" t="s">
        <v>29</v>
      </c>
      <c r="I44" s="115" t="s">
        <v>29</v>
      </c>
      <c r="J44" s="89"/>
      <c r="K44" s="89"/>
      <c r="L44" s="89"/>
      <c r="M44" s="96" t="s">
        <v>29</v>
      </c>
      <c r="N44" s="84"/>
      <c r="O44" s="92" t="s">
        <v>29</v>
      </c>
      <c r="P44" s="98" t="s">
        <v>29</v>
      </c>
      <c r="Q44" s="97" t="s">
        <v>29</v>
      </c>
      <c r="R44" s="92" t="s">
        <v>29</v>
      </c>
      <c r="S44" s="92" t="s">
        <v>29</v>
      </c>
      <c r="T44" s="92" t="s">
        <v>29</v>
      </c>
      <c r="U44" s="115" t="s">
        <v>29</v>
      </c>
    </row>
    <row r="45" spans="1:21" ht="13.2" x14ac:dyDescent="0.25">
      <c r="A45" s="67" t="s">
        <v>29</v>
      </c>
      <c r="B45" s="84"/>
      <c r="C45" s="92" t="s">
        <v>29</v>
      </c>
      <c r="D45" s="98" t="s">
        <v>29</v>
      </c>
      <c r="E45" s="97" t="s">
        <v>29</v>
      </c>
      <c r="F45" s="92" t="s">
        <v>29</v>
      </c>
      <c r="G45" s="92" t="s">
        <v>29</v>
      </c>
      <c r="H45" s="92" t="s">
        <v>29</v>
      </c>
      <c r="I45" s="115" t="s">
        <v>29</v>
      </c>
      <c r="J45" s="89"/>
      <c r="K45" s="89"/>
      <c r="L45" s="89"/>
      <c r="M45" s="96" t="s">
        <v>29</v>
      </c>
      <c r="N45" s="84"/>
      <c r="O45" s="92" t="s">
        <v>29</v>
      </c>
      <c r="P45" s="98" t="s">
        <v>29</v>
      </c>
      <c r="Q45" s="97" t="s">
        <v>29</v>
      </c>
      <c r="R45" s="92" t="s">
        <v>29</v>
      </c>
      <c r="S45" s="92" t="s">
        <v>29</v>
      </c>
      <c r="T45" s="92" t="s">
        <v>29</v>
      </c>
      <c r="U45" s="115" t="s">
        <v>29</v>
      </c>
    </row>
    <row r="46" spans="1:21" ht="13.2" x14ac:dyDescent="0.25">
      <c r="A46" s="67" t="s">
        <v>29</v>
      </c>
      <c r="B46" s="84"/>
      <c r="C46" s="92" t="s">
        <v>29</v>
      </c>
      <c r="D46" s="98" t="s">
        <v>29</v>
      </c>
      <c r="E46" s="97" t="s">
        <v>29</v>
      </c>
      <c r="F46" s="92" t="s">
        <v>29</v>
      </c>
      <c r="G46" s="92" t="s">
        <v>29</v>
      </c>
      <c r="H46" s="92" t="s">
        <v>29</v>
      </c>
      <c r="I46" s="115" t="s">
        <v>29</v>
      </c>
      <c r="J46" s="89"/>
      <c r="K46" s="89"/>
      <c r="L46" s="89"/>
      <c r="M46" s="96" t="s">
        <v>29</v>
      </c>
      <c r="N46" s="84"/>
      <c r="O46" s="92" t="s">
        <v>29</v>
      </c>
      <c r="P46" s="98" t="s">
        <v>29</v>
      </c>
      <c r="Q46" s="97" t="s">
        <v>29</v>
      </c>
      <c r="R46" s="92" t="s">
        <v>29</v>
      </c>
      <c r="S46" s="92" t="s">
        <v>29</v>
      </c>
      <c r="T46" s="92" t="s">
        <v>29</v>
      </c>
      <c r="U46" s="115" t="s">
        <v>29</v>
      </c>
    </row>
    <row r="47" spans="1:21" ht="13.2" x14ac:dyDescent="0.25">
      <c r="A47" s="67" t="s">
        <v>29</v>
      </c>
      <c r="B47" s="84"/>
      <c r="C47" s="219" t="s">
        <v>954</v>
      </c>
      <c r="D47" s="220"/>
      <c r="E47" s="220"/>
      <c r="F47" s="220"/>
      <c r="G47" s="99">
        <v>6</v>
      </c>
      <c r="H47" s="99">
        <v>3</v>
      </c>
      <c r="I47" s="115" t="s">
        <v>29</v>
      </c>
      <c r="J47" s="89"/>
      <c r="K47" s="89"/>
      <c r="L47" s="89"/>
      <c r="M47" s="96" t="s">
        <v>29</v>
      </c>
      <c r="N47" s="84"/>
      <c r="O47" s="219" t="s">
        <v>955</v>
      </c>
      <c r="P47" s="220"/>
      <c r="Q47" s="220"/>
      <c r="R47" s="220"/>
      <c r="S47" s="99">
        <v>1</v>
      </c>
      <c r="T47" s="99">
        <v>8</v>
      </c>
      <c r="U47" s="115" t="s">
        <v>29</v>
      </c>
    </row>
    <row r="48" spans="1:21" ht="13.2" x14ac:dyDescent="0.25">
      <c r="A48" s="67" t="s">
        <v>29</v>
      </c>
      <c r="B48" s="89"/>
      <c r="C48" s="89"/>
      <c r="D48" s="89"/>
      <c r="E48" s="89"/>
      <c r="F48" s="89"/>
      <c r="G48" s="89"/>
      <c r="H48" s="89"/>
      <c r="I48" s="89" t="s">
        <v>29</v>
      </c>
      <c r="J48" s="89"/>
      <c r="K48" s="89"/>
      <c r="L48" s="89"/>
      <c r="M48" s="96" t="s">
        <v>29</v>
      </c>
      <c r="N48" s="89"/>
      <c r="O48" s="89"/>
      <c r="P48" s="89"/>
      <c r="Q48" s="89"/>
      <c r="R48" s="89"/>
      <c r="S48" s="89"/>
      <c r="T48" s="89"/>
      <c r="U48" s="89" t="s">
        <v>29</v>
      </c>
    </row>
    <row r="49" spans="1:21" ht="13.2" x14ac:dyDescent="0.25">
      <c r="A49" s="67" t="s">
        <v>29</v>
      </c>
      <c r="B49" s="101"/>
      <c r="C49" s="101"/>
      <c r="D49" s="101"/>
      <c r="E49" s="101"/>
      <c r="F49" s="101"/>
      <c r="G49" s="101"/>
      <c r="H49" s="101"/>
      <c r="I49" s="101" t="s">
        <v>29</v>
      </c>
      <c r="J49" s="89"/>
      <c r="K49" s="89"/>
      <c r="L49" s="89"/>
      <c r="M49" s="96" t="s">
        <v>29</v>
      </c>
      <c r="N49" s="101"/>
      <c r="O49" s="101"/>
      <c r="P49" s="101"/>
      <c r="Q49" s="101"/>
      <c r="R49" s="101"/>
      <c r="S49" s="101"/>
      <c r="T49" s="101"/>
      <c r="U49" s="101" t="s">
        <v>29</v>
      </c>
    </row>
    <row r="50" spans="1:21" ht="13.2" x14ac:dyDescent="0.25">
      <c r="A50" s="67" t="s">
        <v>923</v>
      </c>
      <c r="B50" s="103"/>
      <c r="C50" s="104" t="s">
        <v>936</v>
      </c>
      <c r="D50" s="105" t="s">
        <v>924</v>
      </c>
      <c r="E50" s="106" t="s">
        <v>2</v>
      </c>
      <c r="F50" s="106" t="s">
        <v>937</v>
      </c>
      <c r="G50" s="106" t="s">
        <v>917</v>
      </c>
      <c r="H50" s="106" t="s">
        <v>918</v>
      </c>
      <c r="I50" s="116" t="s">
        <v>29</v>
      </c>
      <c r="J50" s="89"/>
      <c r="K50" s="89"/>
      <c r="L50" s="89"/>
      <c r="M50" s="90" t="s">
        <v>925</v>
      </c>
      <c r="N50" s="108"/>
      <c r="O50" s="104" t="s">
        <v>936</v>
      </c>
      <c r="P50" s="105" t="s">
        <v>926</v>
      </c>
      <c r="Q50" s="106" t="s">
        <v>2</v>
      </c>
      <c r="R50" s="106" t="s">
        <v>937</v>
      </c>
      <c r="S50" s="106" t="s">
        <v>917</v>
      </c>
      <c r="T50" s="106" t="s">
        <v>918</v>
      </c>
      <c r="U50" s="116" t="s">
        <v>29</v>
      </c>
    </row>
    <row r="51" spans="1:21" ht="13.2" x14ac:dyDescent="0.25">
      <c r="A51" s="67" t="s">
        <v>923</v>
      </c>
      <c r="B51" s="108"/>
      <c r="C51" s="92">
        <v>1</v>
      </c>
      <c r="D51" s="93" t="s">
        <v>1988</v>
      </c>
      <c r="E51" s="94" t="s">
        <v>580</v>
      </c>
      <c r="F51" s="92" t="s">
        <v>1970</v>
      </c>
      <c r="G51" s="92">
        <v>5</v>
      </c>
      <c r="H51" s="92" t="s">
        <v>29</v>
      </c>
      <c r="I51" s="116" t="s">
        <v>29</v>
      </c>
      <c r="J51" s="89"/>
      <c r="K51" s="89"/>
      <c r="L51" s="89"/>
      <c r="M51" s="96" t="s">
        <v>925</v>
      </c>
      <c r="N51" s="108"/>
      <c r="O51" s="92">
        <v>1</v>
      </c>
      <c r="P51" s="93" t="s">
        <v>1989</v>
      </c>
      <c r="Q51" s="94" t="s">
        <v>498</v>
      </c>
      <c r="R51" s="92" t="s">
        <v>933</v>
      </c>
      <c r="S51" s="92" t="s">
        <v>29</v>
      </c>
      <c r="T51" s="92">
        <v>5</v>
      </c>
      <c r="U51" s="116" t="s">
        <v>29</v>
      </c>
    </row>
    <row r="52" spans="1:21" ht="13.2" x14ac:dyDescent="0.25">
      <c r="A52" s="67" t="s">
        <v>923</v>
      </c>
      <c r="B52" s="108"/>
      <c r="C52" s="92">
        <v>2</v>
      </c>
      <c r="D52" s="93" t="s">
        <v>1990</v>
      </c>
      <c r="E52" s="97" t="s">
        <v>316</v>
      </c>
      <c r="F52" s="92" t="s">
        <v>1970</v>
      </c>
      <c r="G52" s="92">
        <v>3</v>
      </c>
      <c r="H52" s="92" t="s">
        <v>29</v>
      </c>
      <c r="I52" s="116" t="s">
        <v>29</v>
      </c>
      <c r="J52" s="89"/>
      <c r="K52" s="89"/>
      <c r="L52" s="89"/>
      <c r="M52" s="96" t="s">
        <v>29</v>
      </c>
      <c r="N52" s="108"/>
      <c r="O52" s="92" t="s">
        <v>29</v>
      </c>
      <c r="P52" s="93" t="s">
        <v>29</v>
      </c>
      <c r="Q52" s="97" t="s">
        <v>29</v>
      </c>
      <c r="R52" s="92" t="s">
        <v>29</v>
      </c>
      <c r="S52" s="92" t="s">
        <v>29</v>
      </c>
      <c r="T52" s="92" t="s">
        <v>29</v>
      </c>
      <c r="U52" s="116" t="s">
        <v>29</v>
      </c>
    </row>
    <row r="53" spans="1:21" ht="13.2" x14ac:dyDescent="0.25">
      <c r="A53" s="67" t="s">
        <v>923</v>
      </c>
      <c r="B53" s="108"/>
      <c r="C53" s="92">
        <v>3</v>
      </c>
      <c r="D53" s="93" t="s">
        <v>1991</v>
      </c>
      <c r="E53" s="97" t="s">
        <v>579</v>
      </c>
      <c r="F53" s="92" t="s">
        <v>1970</v>
      </c>
      <c r="G53" s="92">
        <v>1</v>
      </c>
      <c r="H53" s="92" t="s">
        <v>29</v>
      </c>
      <c r="I53" s="116" t="s">
        <v>29</v>
      </c>
      <c r="J53" s="89"/>
      <c r="K53" s="89"/>
      <c r="L53" s="89"/>
      <c r="M53" s="96" t="s">
        <v>29</v>
      </c>
      <c r="N53" s="108"/>
      <c r="O53" s="92" t="s">
        <v>29</v>
      </c>
      <c r="P53" s="93" t="s">
        <v>29</v>
      </c>
      <c r="Q53" s="97" t="s">
        <v>29</v>
      </c>
      <c r="R53" s="92" t="s">
        <v>29</v>
      </c>
      <c r="S53" s="92" t="s">
        <v>29</v>
      </c>
      <c r="T53" s="92" t="s">
        <v>29</v>
      </c>
      <c r="U53" s="116" t="s">
        <v>29</v>
      </c>
    </row>
    <row r="54" spans="1:21" ht="13.2" x14ac:dyDescent="0.25">
      <c r="A54" s="67" t="s">
        <v>923</v>
      </c>
      <c r="B54" s="108"/>
      <c r="C54" s="92">
        <v>4</v>
      </c>
      <c r="D54" s="93" t="s">
        <v>1992</v>
      </c>
      <c r="E54" s="97" t="s">
        <v>713</v>
      </c>
      <c r="F54" s="92" t="s">
        <v>933</v>
      </c>
      <c r="G54" s="92" t="s">
        <v>29</v>
      </c>
      <c r="H54" s="92" t="s">
        <v>29</v>
      </c>
      <c r="I54" s="116" t="s">
        <v>64</v>
      </c>
      <c r="J54" s="89"/>
      <c r="K54" s="89"/>
      <c r="L54" s="89"/>
      <c r="M54" s="96" t="s">
        <v>29</v>
      </c>
      <c r="N54" s="108"/>
      <c r="O54" s="92" t="s">
        <v>29</v>
      </c>
      <c r="P54" s="93" t="s">
        <v>29</v>
      </c>
      <c r="Q54" s="97" t="s">
        <v>29</v>
      </c>
      <c r="R54" s="92" t="s">
        <v>29</v>
      </c>
      <c r="S54" s="92" t="s">
        <v>29</v>
      </c>
      <c r="T54" s="92" t="s">
        <v>29</v>
      </c>
      <c r="U54" s="116" t="s">
        <v>29</v>
      </c>
    </row>
    <row r="55" spans="1:21" ht="13.2" x14ac:dyDescent="0.25">
      <c r="A55" s="67" t="s">
        <v>923</v>
      </c>
      <c r="B55" s="108"/>
      <c r="C55" s="92">
        <v>5</v>
      </c>
      <c r="D55" s="93" t="s">
        <v>1993</v>
      </c>
      <c r="E55" s="97" t="s">
        <v>140</v>
      </c>
      <c r="F55" s="92" t="s">
        <v>1970</v>
      </c>
      <c r="G55" s="92" t="s">
        <v>29</v>
      </c>
      <c r="H55" s="92" t="s">
        <v>29</v>
      </c>
      <c r="I55" s="116" t="s">
        <v>29</v>
      </c>
      <c r="J55" s="89"/>
      <c r="K55" s="89"/>
      <c r="L55" s="89"/>
      <c r="M55" s="96" t="s">
        <v>29</v>
      </c>
      <c r="N55" s="108"/>
      <c r="O55" s="92" t="s">
        <v>29</v>
      </c>
      <c r="P55" s="93" t="s">
        <v>29</v>
      </c>
      <c r="Q55" s="97" t="s">
        <v>29</v>
      </c>
      <c r="R55" s="92" t="s">
        <v>29</v>
      </c>
      <c r="S55" s="92" t="s">
        <v>29</v>
      </c>
      <c r="T55" s="92" t="s">
        <v>29</v>
      </c>
      <c r="U55" s="116" t="s">
        <v>29</v>
      </c>
    </row>
    <row r="56" spans="1:21" ht="13.2" x14ac:dyDescent="0.25">
      <c r="A56" s="67" t="s">
        <v>923</v>
      </c>
      <c r="B56" s="108"/>
      <c r="C56" s="92">
        <v>6</v>
      </c>
      <c r="D56" s="93" t="s">
        <v>1994</v>
      </c>
      <c r="E56" s="97" t="s">
        <v>581</v>
      </c>
      <c r="F56" s="92" t="s">
        <v>1970</v>
      </c>
      <c r="G56" s="92" t="s">
        <v>29</v>
      </c>
      <c r="H56" s="92" t="s">
        <v>29</v>
      </c>
      <c r="I56" s="116" t="s">
        <v>29</v>
      </c>
      <c r="J56" s="89"/>
      <c r="K56" s="89"/>
      <c r="L56" s="89"/>
      <c r="M56" s="96" t="s">
        <v>29</v>
      </c>
      <c r="N56" s="108"/>
      <c r="O56" s="92" t="s">
        <v>29</v>
      </c>
      <c r="P56" s="93" t="s">
        <v>29</v>
      </c>
      <c r="Q56" s="97" t="s">
        <v>29</v>
      </c>
      <c r="R56" s="92" t="s">
        <v>29</v>
      </c>
      <c r="S56" s="92" t="s">
        <v>29</v>
      </c>
      <c r="T56" s="92" t="s">
        <v>29</v>
      </c>
      <c r="U56" s="116" t="s">
        <v>29</v>
      </c>
    </row>
    <row r="57" spans="1:21" ht="13.2" x14ac:dyDescent="0.25">
      <c r="A57" s="67" t="s">
        <v>29</v>
      </c>
      <c r="B57" s="108"/>
      <c r="C57" s="92" t="s">
        <v>29</v>
      </c>
      <c r="D57" s="93" t="s">
        <v>29</v>
      </c>
      <c r="E57" s="97" t="s">
        <v>29</v>
      </c>
      <c r="F57" s="92" t="s">
        <v>29</v>
      </c>
      <c r="G57" s="92" t="s">
        <v>29</v>
      </c>
      <c r="H57" s="92" t="s">
        <v>29</v>
      </c>
      <c r="I57" s="116" t="s">
        <v>29</v>
      </c>
      <c r="J57" s="89"/>
      <c r="K57" s="89"/>
      <c r="L57" s="89"/>
      <c r="M57" s="96" t="s">
        <v>29</v>
      </c>
      <c r="N57" s="108"/>
      <c r="O57" s="92" t="s">
        <v>29</v>
      </c>
      <c r="P57" s="93" t="s">
        <v>29</v>
      </c>
      <c r="Q57" s="97" t="s">
        <v>29</v>
      </c>
      <c r="R57" s="92" t="s">
        <v>29</v>
      </c>
      <c r="S57" s="92" t="s">
        <v>29</v>
      </c>
      <c r="T57" s="92" t="s">
        <v>29</v>
      </c>
      <c r="U57" s="116" t="s">
        <v>29</v>
      </c>
    </row>
    <row r="58" spans="1:21" ht="13.2" x14ac:dyDescent="0.25">
      <c r="A58" s="67" t="s">
        <v>29</v>
      </c>
      <c r="B58" s="108"/>
      <c r="C58" s="92" t="s">
        <v>29</v>
      </c>
      <c r="D58" s="93" t="s">
        <v>29</v>
      </c>
      <c r="E58" s="97" t="s">
        <v>29</v>
      </c>
      <c r="F58" s="92" t="s">
        <v>29</v>
      </c>
      <c r="G58" s="92" t="s">
        <v>29</v>
      </c>
      <c r="H58" s="92" t="s">
        <v>29</v>
      </c>
      <c r="I58" s="116" t="s">
        <v>29</v>
      </c>
      <c r="J58" s="89"/>
      <c r="K58" s="89"/>
      <c r="L58" s="89"/>
      <c r="M58" s="96" t="s">
        <v>29</v>
      </c>
      <c r="N58" s="108"/>
      <c r="O58" s="92" t="s">
        <v>29</v>
      </c>
      <c r="P58" s="93" t="s">
        <v>29</v>
      </c>
      <c r="Q58" s="97" t="s">
        <v>29</v>
      </c>
      <c r="R58" s="92" t="s">
        <v>29</v>
      </c>
      <c r="S58" s="92" t="s">
        <v>29</v>
      </c>
      <c r="T58" s="92" t="s">
        <v>29</v>
      </c>
      <c r="U58" s="116" t="s">
        <v>29</v>
      </c>
    </row>
    <row r="59" spans="1:21" ht="13.2" x14ac:dyDescent="0.25">
      <c r="A59" s="67" t="s">
        <v>29</v>
      </c>
      <c r="B59" s="108"/>
      <c r="C59" s="92" t="s">
        <v>29</v>
      </c>
      <c r="D59" s="93" t="s">
        <v>29</v>
      </c>
      <c r="E59" s="97" t="s">
        <v>29</v>
      </c>
      <c r="F59" s="92" t="s">
        <v>29</v>
      </c>
      <c r="G59" s="92" t="s">
        <v>29</v>
      </c>
      <c r="H59" s="92" t="s">
        <v>29</v>
      </c>
      <c r="I59" s="116" t="s">
        <v>29</v>
      </c>
      <c r="J59" s="89"/>
      <c r="K59" s="89"/>
      <c r="L59" s="89"/>
      <c r="M59" s="96" t="s">
        <v>29</v>
      </c>
      <c r="N59" s="108"/>
      <c r="O59" s="92" t="s">
        <v>29</v>
      </c>
      <c r="P59" s="93" t="s">
        <v>29</v>
      </c>
      <c r="Q59" s="97" t="s">
        <v>29</v>
      </c>
      <c r="R59" s="92" t="s">
        <v>29</v>
      </c>
      <c r="S59" s="92" t="s">
        <v>29</v>
      </c>
      <c r="T59" s="92" t="s">
        <v>29</v>
      </c>
      <c r="U59" s="116" t="s">
        <v>29</v>
      </c>
    </row>
    <row r="60" spans="1:21" ht="13.2" x14ac:dyDescent="0.25">
      <c r="A60" s="67" t="s">
        <v>29</v>
      </c>
      <c r="B60" s="108"/>
      <c r="C60" s="92" t="s">
        <v>29</v>
      </c>
      <c r="D60" s="98" t="s">
        <v>29</v>
      </c>
      <c r="E60" s="97" t="s">
        <v>29</v>
      </c>
      <c r="F60" s="92" t="s">
        <v>29</v>
      </c>
      <c r="G60" s="92" t="s">
        <v>29</v>
      </c>
      <c r="H60" s="92" t="s">
        <v>29</v>
      </c>
      <c r="I60" s="116" t="s">
        <v>29</v>
      </c>
      <c r="J60" s="89"/>
      <c r="K60" s="89"/>
      <c r="L60" s="89"/>
      <c r="M60" s="96" t="s">
        <v>29</v>
      </c>
      <c r="N60" s="108"/>
      <c r="O60" s="92" t="s">
        <v>29</v>
      </c>
      <c r="P60" s="98" t="s">
        <v>29</v>
      </c>
      <c r="Q60" s="97" t="s">
        <v>29</v>
      </c>
      <c r="R60" s="92" t="s">
        <v>29</v>
      </c>
      <c r="S60" s="92" t="s">
        <v>29</v>
      </c>
      <c r="T60" s="92" t="s">
        <v>29</v>
      </c>
      <c r="U60" s="116" t="s">
        <v>29</v>
      </c>
    </row>
    <row r="61" spans="1:21" ht="13.2" x14ac:dyDescent="0.25">
      <c r="A61" s="67" t="s">
        <v>29</v>
      </c>
      <c r="B61" s="108"/>
      <c r="C61" s="92" t="s">
        <v>29</v>
      </c>
      <c r="D61" s="98" t="s">
        <v>29</v>
      </c>
      <c r="E61" s="97" t="s">
        <v>29</v>
      </c>
      <c r="F61" s="92" t="s">
        <v>29</v>
      </c>
      <c r="G61" s="92" t="s">
        <v>29</v>
      </c>
      <c r="H61" s="92" t="s">
        <v>29</v>
      </c>
      <c r="I61" s="116" t="s">
        <v>29</v>
      </c>
      <c r="J61" s="89"/>
      <c r="K61" s="89"/>
      <c r="L61" s="89"/>
      <c r="M61" s="96" t="s">
        <v>29</v>
      </c>
      <c r="N61" s="108"/>
      <c r="O61" s="92" t="s">
        <v>29</v>
      </c>
      <c r="P61" s="98"/>
      <c r="Q61" s="97"/>
      <c r="R61" s="92"/>
      <c r="S61" s="92" t="s">
        <v>29</v>
      </c>
      <c r="T61" s="92" t="s">
        <v>29</v>
      </c>
      <c r="U61" s="116" t="s">
        <v>29</v>
      </c>
    </row>
    <row r="62" spans="1:21" ht="13.2" x14ac:dyDescent="0.25">
      <c r="A62" s="67" t="s">
        <v>29</v>
      </c>
      <c r="B62" s="108"/>
      <c r="C62" s="92" t="s">
        <v>29</v>
      </c>
      <c r="D62" s="98" t="s">
        <v>29</v>
      </c>
      <c r="E62" s="97" t="s">
        <v>29</v>
      </c>
      <c r="F62" s="92" t="s">
        <v>29</v>
      </c>
      <c r="G62" s="92" t="s">
        <v>29</v>
      </c>
      <c r="H62" s="92" t="s">
        <v>29</v>
      </c>
      <c r="I62" s="116" t="s">
        <v>29</v>
      </c>
      <c r="J62" s="89"/>
      <c r="K62" s="89"/>
      <c r="L62" s="89"/>
      <c r="M62" s="96" t="s">
        <v>29</v>
      </c>
      <c r="N62" s="108"/>
      <c r="O62" s="92" t="s">
        <v>29</v>
      </c>
      <c r="P62" s="98"/>
      <c r="Q62" s="97"/>
      <c r="R62" s="92"/>
      <c r="S62" s="92" t="s">
        <v>29</v>
      </c>
      <c r="T62" s="92" t="s">
        <v>29</v>
      </c>
      <c r="U62" s="116" t="s">
        <v>29</v>
      </c>
    </row>
    <row r="63" spans="1:21" ht="13.2" x14ac:dyDescent="0.25">
      <c r="A63" s="67" t="s">
        <v>29</v>
      </c>
      <c r="B63" s="108"/>
      <c r="C63" s="92" t="s">
        <v>29</v>
      </c>
      <c r="D63" s="98" t="s">
        <v>29</v>
      </c>
      <c r="E63" s="97" t="s">
        <v>29</v>
      </c>
      <c r="F63" s="92" t="s">
        <v>29</v>
      </c>
      <c r="G63" s="92" t="s">
        <v>29</v>
      </c>
      <c r="H63" s="92" t="s">
        <v>29</v>
      </c>
      <c r="I63" s="116" t="s">
        <v>29</v>
      </c>
      <c r="J63" s="89"/>
      <c r="K63" s="89"/>
      <c r="L63" s="89"/>
      <c r="M63" s="96" t="s">
        <v>29</v>
      </c>
      <c r="N63" s="108"/>
      <c r="O63" s="92" t="s">
        <v>29</v>
      </c>
      <c r="P63" s="98"/>
      <c r="Q63" s="97"/>
      <c r="R63" s="92"/>
      <c r="S63" s="92" t="s">
        <v>29</v>
      </c>
      <c r="T63" s="92" t="s">
        <v>29</v>
      </c>
      <c r="U63" s="116" t="s">
        <v>29</v>
      </c>
    </row>
    <row r="64" spans="1:21" ht="13.2" x14ac:dyDescent="0.25">
      <c r="A64" s="67" t="s">
        <v>29</v>
      </c>
      <c r="B64" s="108"/>
      <c r="C64" s="92" t="s">
        <v>29</v>
      </c>
      <c r="D64" s="98" t="s">
        <v>29</v>
      </c>
      <c r="E64" s="97" t="s">
        <v>29</v>
      </c>
      <c r="F64" s="92" t="s">
        <v>29</v>
      </c>
      <c r="G64" s="92" t="s">
        <v>29</v>
      </c>
      <c r="H64" s="92" t="s">
        <v>29</v>
      </c>
      <c r="I64" s="116" t="s">
        <v>29</v>
      </c>
      <c r="J64" s="89"/>
      <c r="K64" s="89"/>
      <c r="L64" s="89"/>
      <c r="M64" s="96" t="s">
        <v>29</v>
      </c>
      <c r="N64" s="108"/>
      <c r="O64" s="92" t="s">
        <v>29</v>
      </c>
      <c r="P64" s="98"/>
      <c r="Q64" s="97"/>
      <c r="R64" s="92"/>
      <c r="S64" s="92" t="s">
        <v>29</v>
      </c>
      <c r="T64" s="92" t="s">
        <v>29</v>
      </c>
      <c r="U64" s="116" t="s">
        <v>29</v>
      </c>
    </row>
    <row r="65" spans="1:21" ht="13.2" x14ac:dyDescent="0.25">
      <c r="A65" s="67" t="s">
        <v>29</v>
      </c>
      <c r="B65" s="108"/>
      <c r="C65" s="92" t="s">
        <v>29</v>
      </c>
      <c r="D65" s="98" t="s">
        <v>29</v>
      </c>
      <c r="E65" s="97" t="s">
        <v>29</v>
      </c>
      <c r="F65" s="92" t="s">
        <v>29</v>
      </c>
      <c r="G65" s="92" t="s">
        <v>29</v>
      </c>
      <c r="H65" s="92" t="s">
        <v>29</v>
      </c>
      <c r="I65" s="116" t="s">
        <v>29</v>
      </c>
      <c r="J65" s="89"/>
      <c r="K65" s="89"/>
      <c r="L65" s="89"/>
      <c r="M65" s="96" t="s">
        <v>29</v>
      </c>
      <c r="N65" s="108"/>
      <c r="O65" s="92" t="s">
        <v>29</v>
      </c>
      <c r="P65" s="98"/>
      <c r="Q65" s="97"/>
      <c r="R65" s="92"/>
      <c r="S65" s="92" t="s">
        <v>29</v>
      </c>
      <c r="T65" s="92" t="s">
        <v>29</v>
      </c>
      <c r="U65" s="116" t="s">
        <v>29</v>
      </c>
    </row>
    <row r="66" spans="1:21" ht="13.2" x14ac:dyDescent="0.25">
      <c r="A66" s="67" t="s">
        <v>29</v>
      </c>
      <c r="B66" s="108"/>
      <c r="C66" s="219" t="s">
        <v>971</v>
      </c>
      <c r="D66" s="220"/>
      <c r="E66" s="220"/>
      <c r="F66" s="222"/>
      <c r="G66" s="99">
        <v>9</v>
      </c>
      <c r="H66" s="99">
        <v>0</v>
      </c>
      <c r="I66" s="116" t="s">
        <v>29</v>
      </c>
      <c r="J66" s="89"/>
      <c r="K66" s="89"/>
      <c r="L66" s="89"/>
      <c r="M66" s="96" t="s">
        <v>29</v>
      </c>
      <c r="N66" s="108"/>
      <c r="O66" s="219" t="s">
        <v>972</v>
      </c>
      <c r="P66" s="220"/>
      <c r="Q66" s="220"/>
      <c r="R66" s="222"/>
      <c r="S66" s="99">
        <v>0</v>
      </c>
      <c r="T66" s="99">
        <v>5</v>
      </c>
      <c r="U66" s="116" t="s">
        <v>29</v>
      </c>
    </row>
    <row r="67" spans="1:21" ht="13.2" x14ac:dyDescent="0.25">
      <c r="A67" s="67" t="s">
        <v>29</v>
      </c>
      <c r="B67" s="89"/>
      <c r="C67" s="89"/>
      <c r="D67" s="89"/>
      <c r="E67" s="89"/>
      <c r="F67" s="89"/>
      <c r="G67" s="89"/>
      <c r="H67" s="89"/>
      <c r="I67" s="89" t="s">
        <v>29</v>
      </c>
      <c r="J67" s="89"/>
      <c r="K67" s="89"/>
      <c r="L67" s="89"/>
      <c r="M67" s="96" t="s">
        <v>29</v>
      </c>
      <c r="N67" s="89"/>
      <c r="O67" s="89"/>
      <c r="P67" s="89"/>
      <c r="Q67" s="89"/>
      <c r="R67" s="89"/>
      <c r="S67" s="89"/>
      <c r="T67" s="89"/>
      <c r="U67" s="89" t="s">
        <v>29</v>
      </c>
    </row>
    <row r="68" spans="1:21" ht="13.2" x14ac:dyDescent="0.25">
      <c r="A68" s="67" t="s">
        <v>29</v>
      </c>
      <c r="B68" s="101"/>
      <c r="C68" s="101"/>
      <c r="D68" s="101"/>
      <c r="E68" s="101"/>
      <c r="F68" s="101"/>
      <c r="G68" s="101"/>
      <c r="H68" s="101"/>
      <c r="I68" s="101" t="s">
        <v>29</v>
      </c>
      <c r="J68" s="89"/>
      <c r="K68" s="89"/>
      <c r="L68" s="89"/>
      <c r="M68" s="96" t="s">
        <v>29</v>
      </c>
      <c r="N68" s="101"/>
      <c r="O68" s="101"/>
      <c r="P68" s="101"/>
      <c r="Q68" s="101"/>
      <c r="R68" s="101"/>
      <c r="S68" s="101"/>
      <c r="T68" s="101"/>
      <c r="U68" s="101" t="s">
        <v>29</v>
      </c>
    </row>
    <row r="69" spans="1:21" ht="13.2" x14ac:dyDescent="0.25">
      <c r="A69" s="67" t="s">
        <v>927</v>
      </c>
      <c r="B69" s="111"/>
      <c r="C69" s="112" t="s">
        <v>936</v>
      </c>
      <c r="D69" s="113" t="s">
        <v>928</v>
      </c>
      <c r="E69" s="114" t="s">
        <v>2</v>
      </c>
      <c r="F69" s="114" t="s">
        <v>937</v>
      </c>
      <c r="G69" s="114" t="s">
        <v>917</v>
      </c>
      <c r="H69" s="114" t="s">
        <v>918</v>
      </c>
      <c r="I69" s="115" t="s">
        <v>29</v>
      </c>
      <c r="J69" s="89"/>
      <c r="K69" s="89"/>
      <c r="L69" s="89"/>
      <c r="M69" s="90" t="s">
        <v>929</v>
      </c>
      <c r="N69" s="115"/>
      <c r="O69" s="112" t="s">
        <v>936</v>
      </c>
      <c r="P69" s="113" t="s">
        <v>930</v>
      </c>
      <c r="Q69" s="114" t="s">
        <v>2</v>
      </c>
      <c r="R69" s="114" t="s">
        <v>937</v>
      </c>
      <c r="S69" s="114" t="s">
        <v>917</v>
      </c>
      <c r="T69" s="114" t="s">
        <v>918</v>
      </c>
      <c r="U69" s="115" t="s">
        <v>29</v>
      </c>
    </row>
    <row r="70" spans="1:21" ht="13.2" x14ac:dyDescent="0.25">
      <c r="A70" s="67" t="s">
        <v>927</v>
      </c>
      <c r="B70" s="84"/>
      <c r="C70" s="92">
        <v>1</v>
      </c>
      <c r="D70" s="93" t="s">
        <v>1995</v>
      </c>
      <c r="E70" s="94" t="s">
        <v>529</v>
      </c>
      <c r="F70" s="92" t="s">
        <v>933</v>
      </c>
      <c r="G70" s="92" t="s">
        <v>29</v>
      </c>
      <c r="H70" s="92">
        <v>5</v>
      </c>
      <c r="I70" s="115" t="s">
        <v>29</v>
      </c>
      <c r="J70" s="89"/>
      <c r="K70" s="89"/>
      <c r="L70" s="89"/>
      <c r="M70" s="96" t="s">
        <v>929</v>
      </c>
      <c r="N70" s="84"/>
      <c r="O70" s="92">
        <v>1</v>
      </c>
      <c r="P70" s="93" t="s">
        <v>1996</v>
      </c>
      <c r="Q70" s="94" t="s">
        <v>453</v>
      </c>
      <c r="R70" s="92" t="s">
        <v>1970</v>
      </c>
      <c r="S70" s="92">
        <v>5</v>
      </c>
      <c r="T70" s="92" t="s">
        <v>29</v>
      </c>
      <c r="U70" s="115" t="s">
        <v>29</v>
      </c>
    </row>
    <row r="71" spans="1:21" ht="13.2" x14ac:dyDescent="0.25">
      <c r="A71" s="67" t="s">
        <v>927</v>
      </c>
      <c r="B71" s="84"/>
      <c r="C71" s="92">
        <v>2</v>
      </c>
      <c r="D71" s="93" t="s">
        <v>1997</v>
      </c>
      <c r="E71" s="97" t="s">
        <v>577</v>
      </c>
      <c r="F71" s="92" t="s">
        <v>1970</v>
      </c>
      <c r="G71" s="92">
        <v>3</v>
      </c>
      <c r="H71" s="92" t="s">
        <v>29</v>
      </c>
      <c r="I71" s="115" t="s">
        <v>29</v>
      </c>
      <c r="J71" s="89"/>
      <c r="K71" s="89"/>
      <c r="L71" s="89"/>
      <c r="M71" s="96" t="s">
        <v>929</v>
      </c>
      <c r="N71" s="84"/>
      <c r="O71" s="92">
        <v>2</v>
      </c>
      <c r="P71" s="93" t="s">
        <v>1998</v>
      </c>
      <c r="Q71" s="97" t="s">
        <v>718</v>
      </c>
      <c r="R71" s="92" t="s">
        <v>933</v>
      </c>
      <c r="S71" s="92" t="s">
        <v>29</v>
      </c>
      <c r="T71" s="92">
        <v>3</v>
      </c>
      <c r="U71" s="115" t="s">
        <v>29</v>
      </c>
    </row>
    <row r="72" spans="1:21" ht="13.2" x14ac:dyDescent="0.25">
      <c r="A72" s="67" t="s">
        <v>927</v>
      </c>
      <c r="B72" s="84"/>
      <c r="C72" s="92">
        <v>3</v>
      </c>
      <c r="D72" s="93" t="s">
        <v>1999</v>
      </c>
      <c r="E72" s="97" t="s">
        <v>221</v>
      </c>
      <c r="F72" s="92" t="s">
        <v>1970</v>
      </c>
      <c r="G72" s="92">
        <v>1</v>
      </c>
      <c r="H72" s="92" t="s">
        <v>29</v>
      </c>
      <c r="I72" s="115" t="s">
        <v>29</v>
      </c>
      <c r="J72" s="89"/>
      <c r="K72" s="89"/>
      <c r="L72" s="89"/>
      <c r="M72" s="96" t="s">
        <v>29</v>
      </c>
      <c r="N72" s="84"/>
      <c r="O72" s="92" t="s">
        <v>29</v>
      </c>
      <c r="P72" s="93" t="s">
        <v>29</v>
      </c>
      <c r="Q72" s="97" t="s">
        <v>29</v>
      </c>
      <c r="R72" s="92" t="s">
        <v>29</v>
      </c>
      <c r="S72" s="92" t="s">
        <v>29</v>
      </c>
      <c r="T72" s="92" t="s">
        <v>29</v>
      </c>
      <c r="U72" s="115" t="s">
        <v>29</v>
      </c>
    </row>
    <row r="73" spans="1:21" ht="13.2" x14ac:dyDescent="0.25">
      <c r="A73" s="67" t="s">
        <v>927</v>
      </c>
      <c r="B73" s="84"/>
      <c r="C73" s="92">
        <v>4</v>
      </c>
      <c r="D73" s="93" t="s">
        <v>2000</v>
      </c>
      <c r="E73" s="97" t="s">
        <v>576</v>
      </c>
      <c r="F73" s="92" t="s">
        <v>1970</v>
      </c>
      <c r="G73" s="92" t="s">
        <v>29</v>
      </c>
      <c r="H73" s="92" t="s">
        <v>29</v>
      </c>
      <c r="I73" s="115" t="s">
        <v>29</v>
      </c>
      <c r="J73" s="89"/>
      <c r="K73" s="89"/>
      <c r="L73" s="89"/>
      <c r="M73" s="96" t="s">
        <v>29</v>
      </c>
      <c r="N73" s="84"/>
      <c r="O73" s="92" t="s">
        <v>29</v>
      </c>
      <c r="P73" s="93" t="s">
        <v>29</v>
      </c>
      <c r="Q73" s="97" t="s">
        <v>29</v>
      </c>
      <c r="R73" s="92" t="s">
        <v>29</v>
      </c>
      <c r="S73" s="92" t="s">
        <v>29</v>
      </c>
      <c r="T73" s="92" t="s">
        <v>29</v>
      </c>
      <c r="U73" s="115" t="s">
        <v>29</v>
      </c>
    </row>
    <row r="74" spans="1:21" ht="13.2" x14ac:dyDescent="0.25">
      <c r="A74" s="67" t="s">
        <v>927</v>
      </c>
      <c r="B74" s="84"/>
      <c r="C74" s="92">
        <v>5</v>
      </c>
      <c r="D74" s="93" t="s">
        <v>2001</v>
      </c>
      <c r="E74" s="97" t="s">
        <v>278</v>
      </c>
      <c r="F74" s="92" t="s">
        <v>933</v>
      </c>
      <c r="G74" s="92" t="s">
        <v>29</v>
      </c>
      <c r="H74" s="92" t="s">
        <v>29</v>
      </c>
      <c r="I74" s="115" t="s">
        <v>29</v>
      </c>
      <c r="J74" s="89"/>
      <c r="K74" s="89"/>
      <c r="L74" s="89"/>
      <c r="M74" s="96" t="s">
        <v>29</v>
      </c>
      <c r="N74" s="84"/>
      <c r="O74" s="92" t="s">
        <v>29</v>
      </c>
      <c r="P74" s="93" t="s">
        <v>29</v>
      </c>
      <c r="Q74" s="97" t="s">
        <v>29</v>
      </c>
      <c r="R74" s="92" t="s">
        <v>29</v>
      </c>
      <c r="S74" s="92" t="s">
        <v>29</v>
      </c>
      <c r="T74" s="92" t="s">
        <v>29</v>
      </c>
      <c r="U74" s="115" t="s">
        <v>29</v>
      </c>
    </row>
    <row r="75" spans="1:21" ht="13.2" x14ac:dyDescent="0.25">
      <c r="A75" s="67" t="s">
        <v>29</v>
      </c>
      <c r="B75" s="84"/>
      <c r="C75" s="92" t="s">
        <v>29</v>
      </c>
      <c r="D75" s="93" t="s">
        <v>29</v>
      </c>
      <c r="E75" s="97" t="s">
        <v>29</v>
      </c>
      <c r="F75" s="92" t="s">
        <v>29</v>
      </c>
      <c r="G75" s="92" t="s">
        <v>29</v>
      </c>
      <c r="H75" s="92" t="s">
        <v>29</v>
      </c>
      <c r="I75" s="115" t="s">
        <v>29</v>
      </c>
      <c r="J75" s="89"/>
      <c r="K75" s="89"/>
      <c r="L75" s="89"/>
      <c r="M75" s="96" t="s">
        <v>29</v>
      </c>
      <c r="N75" s="84"/>
      <c r="O75" s="92" t="s">
        <v>29</v>
      </c>
      <c r="P75" s="93" t="s">
        <v>29</v>
      </c>
      <c r="Q75" s="97" t="s">
        <v>29</v>
      </c>
      <c r="R75" s="92" t="s">
        <v>29</v>
      </c>
      <c r="S75" s="92" t="s">
        <v>29</v>
      </c>
      <c r="T75" s="92" t="s">
        <v>29</v>
      </c>
      <c r="U75" s="115" t="s">
        <v>29</v>
      </c>
    </row>
    <row r="76" spans="1:21" ht="13.2" x14ac:dyDescent="0.25">
      <c r="A76" s="67" t="s">
        <v>29</v>
      </c>
      <c r="B76" s="84"/>
      <c r="C76" s="92" t="s">
        <v>29</v>
      </c>
      <c r="D76" s="93" t="s">
        <v>29</v>
      </c>
      <c r="E76" s="97" t="s">
        <v>29</v>
      </c>
      <c r="F76" s="92" t="s">
        <v>29</v>
      </c>
      <c r="G76" s="92" t="s">
        <v>29</v>
      </c>
      <c r="H76" s="92" t="s">
        <v>29</v>
      </c>
      <c r="I76" s="115" t="s">
        <v>29</v>
      </c>
      <c r="J76" s="89"/>
      <c r="K76" s="89"/>
      <c r="L76" s="89"/>
      <c r="M76" s="96" t="s">
        <v>29</v>
      </c>
      <c r="N76" s="84"/>
      <c r="O76" s="92" t="s">
        <v>29</v>
      </c>
      <c r="P76" s="93" t="s">
        <v>29</v>
      </c>
      <c r="Q76" s="97" t="s">
        <v>29</v>
      </c>
      <c r="R76" s="92" t="s">
        <v>29</v>
      </c>
      <c r="S76" s="92" t="s">
        <v>29</v>
      </c>
      <c r="T76" s="92" t="s">
        <v>29</v>
      </c>
      <c r="U76" s="115" t="s">
        <v>29</v>
      </c>
    </row>
    <row r="77" spans="1:21" ht="13.2" x14ac:dyDescent="0.25">
      <c r="A77" s="67" t="s">
        <v>29</v>
      </c>
      <c r="B77" s="84"/>
      <c r="C77" s="92" t="s">
        <v>29</v>
      </c>
      <c r="D77" s="93" t="s">
        <v>29</v>
      </c>
      <c r="E77" s="97" t="s">
        <v>29</v>
      </c>
      <c r="F77" s="92" t="s">
        <v>29</v>
      </c>
      <c r="G77" s="92" t="s">
        <v>29</v>
      </c>
      <c r="H77" s="92" t="s">
        <v>29</v>
      </c>
      <c r="I77" s="115" t="s">
        <v>29</v>
      </c>
      <c r="J77" s="89"/>
      <c r="K77" s="89"/>
      <c r="L77" s="89"/>
      <c r="M77" s="96" t="s">
        <v>29</v>
      </c>
      <c r="N77" s="84"/>
      <c r="O77" s="92" t="s">
        <v>29</v>
      </c>
      <c r="P77" s="93" t="s">
        <v>29</v>
      </c>
      <c r="Q77" s="97" t="s">
        <v>29</v>
      </c>
      <c r="R77" s="92" t="s">
        <v>29</v>
      </c>
      <c r="S77" s="92" t="s">
        <v>29</v>
      </c>
      <c r="T77" s="92" t="s">
        <v>29</v>
      </c>
      <c r="U77" s="115" t="s">
        <v>29</v>
      </c>
    </row>
    <row r="78" spans="1:21" ht="13.2" x14ac:dyDescent="0.25">
      <c r="A78" s="67" t="s">
        <v>29</v>
      </c>
      <c r="B78" s="84"/>
      <c r="C78" s="92" t="s">
        <v>29</v>
      </c>
      <c r="D78" s="93" t="s">
        <v>29</v>
      </c>
      <c r="E78" s="97" t="s">
        <v>29</v>
      </c>
      <c r="F78" s="92" t="s">
        <v>29</v>
      </c>
      <c r="G78" s="92" t="s">
        <v>29</v>
      </c>
      <c r="H78" s="92" t="s">
        <v>29</v>
      </c>
      <c r="I78" s="115" t="s">
        <v>29</v>
      </c>
      <c r="J78" s="89"/>
      <c r="K78" s="89"/>
      <c r="L78" s="89"/>
      <c r="M78" s="96" t="s">
        <v>29</v>
      </c>
      <c r="N78" s="84"/>
      <c r="O78" s="92" t="s">
        <v>29</v>
      </c>
      <c r="P78" s="93" t="s">
        <v>29</v>
      </c>
      <c r="Q78" s="97" t="s">
        <v>29</v>
      </c>
      <c r="R78" s="92" t="s">
        <v>29</v>
      </c>
      <c r="S78" s="92" t="s">
        <v>29</v>
      </c>
      <c r="T78" s="92" t="s">
        <v>29</v>
      </c>
      <c r="U78" s="115" t="s">
        <v>29</v>
      </c>
    </row>
    <row r="79" spans="1:21" ht="13.2" x14ac:dyDescent="0.25">
      <c r="A79" s="67" t="s">
        <v>29</v>
      </c>
      <c r="B79" s="84"/>
      <c r="C79" s="92" t="s">
        <v>29</v>
      </c>
      <c r="D79" s="93" t="s">
        <v>29</v>
      </c>
      <c r="E79" s="97" t="s">
        <v>29</v>
      </c>
      <c r="F79" s="92" t="s">
        <v>29</v>
      </c>
      <c r="G79" s="92" t="s">
        <v>29</v>
      </c>
      <c r="H79" s="92" t="s">
        <v>29</v>
      </c>
      <c r="I79" s="115" t="s">
        <v>29</v>
      </c>
      <c r="J79" s="89"/>
      <c r="K79" s="89"/>
      <c r="L79" s="89"/>
      <c r="M79" s="96" t="s">
        <v>29</v>
      </c>
      <c r="N79" s="84"/>
      <c r="O79" s="92" t="s">
        <v>29</v>
      </c>
      <c r="P79" s="93" t="s">
        <v>29</v>
      </c>
      <c r="Q79" s="97" t="s">
        <v>29</v>
      </c>
      <c r="R79" s="92" t="s">
        <v>29</v>
      </c>
      <c r="S79" s="92" t="s">
        <v>29</v>
      </c>
      <c r="T79" s="92" t="s">
        <v>29</v>
      </c>
      <c r="U79" s="115" t="s">
        <v>29</v>
      </c>
    </row>
    <row r="80" spans="1:21" ht="13.2" x14ac:dyDescent="0.25">
      <c r="A80" s="67"/>
      <c r="B80" s="84"/>
      <c r="C80" s="92" t="s">
        <v>29</v>
      </c>
      <c r="D80" s="93" t="s">
        <v>29</v>
      </c>
      <c r="E80" s="97" t="s">
        <v>29</v>
      </c>
      <c r="F80" s="92" t="s">
        <v>29</v>
      </c>
      <c r="G80" s="92" t="s">
        <v>29</v>
      </c>
      <c r="H80" s="92" t="s">
        <v>29</v>
      </c>
      <c r="I80" s="115" t="s">
        <v>29</v>
      </c>
      <c r="J80" s="89"/>
      <c r="K80" s="89"/>
      <c r="L80" s="89"/>
      <c r="M80" s="96"/>
      <c r="N80" s="84"/>
      <c r="O80" s="92" t="s">
        <v>29</v>
      </c>
      <c r="P80" s="93" t="s">
        <v>29</v>
      </c>
      <c r="Q80" s="97" t="s">
        <v>29</v>
      </c>
      <c r="R80" s="92" t="s">
        <v>29</v>
      </c>
      <c r="S80" s="92" t="s">
        <v>29</v>
      </c>
      <c r="T80" s="92" t="s">
        <v>29</v>
      </c>
      <c r="U80" s="115" t="s">
        <v>29</v>
      </c>
    </row>
    <row r="81" spans="1:21" ht="13.2" x14ac:dyDescent="0.25">
      <c r="A81" s="67"/>
      <c r="B81" s="84"/>
      <c r="C81" s="92" t="s">
        <v>29</v>
      </c>
      <c r="D81" s="93" t="s">
        <v>29</v>
      </c>
      <c r="E81" s="97" t="s">
        <v>29</v>
      </c>
      <c r="F81" s="92" t="s">
        <v>29</v>
      </c>
      <c r="G81" s="92" t="s">
        <v>29</v>
      </c>
      <c r="H81" s="92" t="s">
        <v>29</v>
      </c>
      <c r="I81" s="115" t="s">
        <v>29</v>
      </c>
      <c r="J81" s="89"/>
      <c r="K81" s="89"/>
      <c r="L81" s="89"/>
      <c r="M81" s="96"/>
      <c r="N81" s="84"/>
      <c r="O81" s="92" t="s">
        <v>29</v>
      </c>
      <c r="P81" s="93" t="s">
        <v>29</v>
      </c>
      <c r="Q81" s="97" t="s">
        <v>29</v>
      </c>
      <c r="R81" s="92" t="s">
        <v>29</v>
      </c>
      <c r="S81" s="92" t="s">
        <v>29</v>
      </c>
      <c r="T81" s="92" t="s">
        <v>29</v>
      </c>
      <c r="U81" s="115" t="s">
        <v>29</v>
      </c>
    </row>
    <row r="82" spans="1:21" ht="13.2" x14ac:dyDescent="0.25">
      <c r="A82" s="67"/>
      <c r="B82" s="84"/>
      <c r="C82" s="92" t="s">
        <v>29</v>
      </c>
      <c r="D82" s="98" t="s">
        <v>29</v>
      </c>
      <c r="E82" s="97" t="s">
        <v>29</v>
      </c>
      <c r="F82" s="92" t="s">
        <v>29</v>
      </c>
      <c r="G82" s="92" t="s">
        <v>29</v>
      </c>
      <c r="H82" s="92" t="s">
        <v>29</v>
      </c>
      <c r="I82" s="115" t="s">
        <v>29</v>
      </c>
      <c r="J82" s="89"/>
      <c r="K82" s="89"/>
      <c r="L82" s="89"/>
      <c r="M82" s="96"/>
      <c r="N82" s="84"/>
      <c r="O82" s="92" t="s">
        <v>29</v>
      </c>
      <c r="P82" s="98" t="s">
        <v>29</v>
      </c>
      <c r="Q82" s="97" t="s">
        <v>29</v>
      </c>
      <c r="R82" s="92" t="s">
        <v>29</v>
      </c>
      <c r="S82" s="92" t="s">
        <v>29</v>
      </c>
      <c r="T82" s="92" t="s">
        <v>29</v>
      </c>
      <c r="U82" s="115" t="s">
        <v>29</v>
      </c>
    </row>
    <row r="83" spans="1:21" ht="13.2" x14ac:dyDescent="0.25">
      <c r="A83" s="67"/>
      <c r="B83" s="84"/>
      <c r="C83" s="92" t="s">
        <v>29</v>
      </c>
      <c r="D83" s="98" t="s">
        <v>29</v>
      </c>
      <c r="E83" s="97" t="s">
        <v>29</v>
      </c>
      <c r="F83" s="92" t="s">
        <v>29</v>
      </c>
      <c r="G83" s="92" t="s">
        <v>29</v>
      </c>
      <c r="H83" s="92" t="s">
        <v>29</v>
      </c>
      <c r="I83" s="115" t="s">
        <v>29</v>
      </c>
      <c r="J83" s="89"/>
      <c r="K83" s="89"/>
      <c r="L83" s="89"/>
      <c r="M83" s="96"/>
      <c r="N83" s="84"/>
      <c r="O83" s="92" t="s">
        <v>29</v>
      </c>
      <c r="P83" s="98" t="s">
        <v>29</v>
      </c>
      <c r="Q83" s="97" t="s">
        <v>29</v>
      </c>
      <c r="R83" s="92" t="s">
        <v>29</v>
      </c>
      <c r="S83" s="92" t="s">
        <v>29</v>
      </c>
      <c r="T83" s="92" t="s">
        <v>29</v>
      </c>
      <c r="U83" s="115" t="s">
        <v>29</v>
      </c>
    </row>
    <row r="84" spans="1:21" ht="13.2" x14ac:dyDescent="0.25">
      <c r="A84" s="67"/>
      <c r="B84" s="84"/>
      <c r="C84" s="92" t="s">
        <v>29</v>
      </c>
      <c r="D84" s="98" t="s">
        <v>29</v>
      </c>
      <c r="E84" s="97" t="s">
        <v>29</v>
      </c>
      <c r="F84" s="92" t="s">
        <v>29</v>
      </c>
      <c r="G84" s="92" t="s">
        <v>29</v>
      </c>
      <c r="H84" s="92" t="s">
        <v>29</v>
      </c>
      <c r="I84" s="115" t="s">
        <v>29</v>
      </c>
      <c r="J84" s="89"/>
      <c r="K84" s="89"/>
      <c r="L84" s="89"/>
      <c r="M84" s="96"/>
      <c r="N84" s="84"/>
      <c r="O84" s="92" t="s">
        <v>29</v>
      </c>
      <c r="P84" s="98" t="s">
        <v>29</v>
      </c>
      <c r="Q84" s="97" t="s">
        <v>29</v>
      </c>
      <c r="R84" s="92" t="s">
        <v>29</v>
      </c>
      <c r="S84" s="92" t="s">
        <v>29</v>
      </c>
      <c r="T84" s="92" t="s">
        <v>29</v>
      </c>
      <c r="U84" s="115" t="s">
        <v>29</v>
      </c>
    </row>
    <row r="85" spans="1:21" ht="13.2" x14ac:dyDescent="0.25">
      <c r="A85" s="67" t="s">
        <v>29</v>
      </c>
      <c r="B85" s="84"/>
      <c r="C85" s="219" t="s">
        <v>984</v>
      </c>
      <c r="D85" s="220"/>
      <c r="E85" s="220"/>
      <c r="F85" s="220"/>
      <c r="G85" s="99">
        <v>4</v>
      </c>
      <c r="H85" s="99">
        <v>5</v>
      </c>
      <c r="I85" s="115" t="s">
        <v>29</v>
      </c>
      <c r="J85" s="89"/>
      <c r="K85" s="89"/>
      <c r="L85" s="89"/>
      <c r="M85" s="96" t="s">
        <v>29</v>
      </c>
      <c r="N85" s="84"/>
      <c r="O85" s="219" t="s">
        <v>985</v>
      </c>
      <c r="P85" s="220"/>
      <c r="Q85" s="220"/>
      <c r="R85" s="220"/>
      <c r="S85" s="99">
        <v>5</v>
      </c>
      <c r="T85" s="99">
        <v>3</v>
      </c>
      <c r="U85" s="115" t="s">
        <v>29</v>
      </c>
    </row>
    <row r="86" spans="1:21" ht="13.2" x14ac:dyDescent="0.25">
      <c r="A86" s="67" t="s">
        <v>29</v>
      </c>
      <c r="B86" s="89"/>
      <c r="C86" s="89"/>
      <c r="D86" s="89"/>
      <c r="E86" s="89"/>
      <c r="F86" s="89"/>
      <c r="G86" s="89"/>
      <c r="H86" s="89"/>
      <c r="I86" s="89" t="s">
        <v>29</v>
      </c>
      <c r="J86" s="89"/>
      <c r="K86" s="89"/>
      <c r="L86" s="89"/>
      <c r="M86" s="96" t="s">
        <v>29</v>
      </c>
      <c r="N86" s="89"/>
      <c r="O86" s="89"/>
      <c r="P86" s="89"/>
      <c r="Q86" s="89"/>
      <c r="R86" s="89"/>
      <c r="S86" s="89"/>
      <c r="T86" s="89"/>
      <c r="U86" s="89" t="s">
        <v>29</v>
      </c>
    </row>
    <row r="87" spans="1:21" ht="13.2" x14ac:dyDescent="0.25">
      <c r="A87" s="67" t="s">
        <v>29</v>
      </c>
      <c r="B87" s="101"/>
      <c r="C87" s="101"/>
      <c r="D87" s="101"/>
      <c r="E87" s="101"/>
      <c r="F87" s="101"/>
      <c r="G87" s="101"/>
      <c r="H87" s="101"/>
      <c r="I87" s="101" t="s">
        <v>29</v>
      </c>
      <c r="J87" s="89"/>
      <c r="K87" s="89"/>
      <c r="L87" s="89"/>
      <c r="M87" s="96" t="s">
        <v>29</v>
      </c>
      <c r="N87" s="101"/>
      <c r="O87" s="101"/>
      <c r="P87" s="101"/>
      <c r="Q87" s="101"/>
      <c r="R87" s="101"/>
      <c r="S87" s="101"/>
      <c r="T87" s="101"/>
      <c r="U87" s="101" t="s">
        <v>29</v>
      </c>
    </row>
    <row r="88" spans="1:21" ht="13.2" x14ac:dyDescent="0.25">
      <c r="A88" s="67" t="s">
        <v>931</v>
      </c>
      <c r="B88" s="103"/>
      <c r="C88" s="104" t="s">
        <v>936</v>
      </c>
      <c r="D88" s="105" t="s">
        <v>932</v>
      </c>
      <c r="E88" s="106" t="s">
        <v>2</v>
      </c>
      <c r="F88" s="106" t="s">
        <v>937</v>
      </c>
      <c r="G88" s="106" t="s">
        <v>917</v>
      </c>
      <c r="H88" s="106" t="s">
        <v>918</v>
      </c>
      <c r="I88" s="116" t="s">
        <v>29</v>
      </c>
      <c r="J88" s="89"/>
      <c r="K88" s="89"/>
      <c r="L88" s="89"/>
      <c r="M88" s="90" t="s">
        <v>933</v>
      </c>
      <c r="N88" s="116"/>
      <c r="O88" s="104" t="s">
        <v>936</v>
      </c>
      <c r="P88" s="105" t="s">
        <v>934</v>
      </c>
      <c r="Q88" s="106" t="s">
        <v>2</v>
      </c>
      <c r="R88" s="106" t="s">
        <v>937</v>
      </c>
      <c r="S88" s="106" t="s">
        <v>917</v>
      </c>
      <c r="T88" s="106" t="s">
        <v>918</v>
      </c>
      <c r="U88" s="116" t="s">
        <v>29</v>
      </c>
    </row>
    <row r="89" spans="1:21" ht="13.2" x14ac:dyDescent="0.25">
      <c r="A89" s="67" t="s">
        <v>931</v>
      </c>
      <c r="B89" s="108"/>
      <c r="C89" s="92">
        <v>1</v>
      </c>
      <c r="D89" s="93" t="s">
        <v>2002</v>
      </c>
      <c r="E89" s="94" t="s">
        <v>578</v>
      </c>
      <c r="F89" s="92" t="s">
        <v>1970</v>
      </c>
      <c r="G89" s="92">
        <v>5</v>
      </c>
      <c r="H89" s="92" t="s">
        <v>29</v>
      </c>
      <c r="I89" s="116" t="s">
        <v>64</v>
      </c>
      <c r="J89" s="89"/>
      <c r="K89" s="89"/>
      <c r="L89" s="89"/>
      <c r="M89" s="96" t="s">
        <v>933</v>
      </c>
      <c r="N89" s="108"/>
      <c r="O89" s="92">
        <v>1</v>
      </c>
      <c r="P89" s="93" t="s">
        <v>2003</v>
      </c>
      <c r="Q89" s="94" t="s">
        <v>582</v>
      </c>
      <c r="R89" s="92" t="s">
        <v>1970</v>
      </c>
      <c r="S89" s="92">
        <v>5</v>
      </c>
      <c r="T89" s="92" t="s">
        <v>29</v>
      </c>
      <c r="U89" s="116" t="s">
        <v>29</v>
      </c>
    </row>
    <row r="90" spans="1:21" ht="13.2" x14ac:dyDescent="0.25">
      <c r="A90" s="67" t="s">
        <v>931</v>
      </c>
      <c r="B90" s="108"/>
      <c r="C90" s="92">
        <v>2</v>
      </c>
      <c r="D90" s="93" t="s">
        <v>2004</v>
      </c>
      <c r="E90" s="97" t="s">
        <v>258</v>
      </c>
      <c r="F90" s="92" t="s">
        <v>933</v>
      </c>
      <c r="G90" s="92" t="s">
        <v>29</v>
      </c>
      <c r="H90" s="92">
        <v>3</v>
      </c>
      <c r="I90" s="116" t="s">
        <v>29</v>
      </c>
      <c r="J90" s="89"/>
      <c r="K90" s="89"/>
      <c r="L90" s="89"/>
      <c r="M90" s="96" t="s">
        <v>933</v>
      </c>
      <c r="N90" s="108"/>
      <c r="O90" s="92">
        <v>2</v>
      </c>
      <c r="P90" s="93" t="s">
        <v>2005</v>
      </c>
      <c r="Q90" s="97" t="s">
        <v>719</v>
      </c>
      <c r="R90" s="92" t="s">
        <v>933</v>
      </c>
      <c r="S90" s="92" t="s">
        <v>29</v>
      </c>
      <c r="T90" s="92">
        <v>3</v>
      </c>
      <c r="U90" s="116" t="s">
        <v>29</v>
      </c>
    </row>
    <row r="91" spans="1:21" ht="13.2" x14ac:dyDescent="0.25">
      <c r="A91" s="67" t="s">
        <v>29</v>
      </c>
      <c r="B91" s="108"/>
      <c r="C91" s="92" t="s">
        <v>29</v>
      </c>
      <c r="D91" s="93" t="s">
        <v>29</v>
      </c>
      <c r="E91" s="97" t="s">
        <v>29</v>
      </c>
      <c r="F91" s="92" t="s">
        <v>29</v>
      </c>
      <c r="G91" s="92" t="s">
        <v>29</v>
      </c>
      <c r="H91" s="92" t="s">
        <v>29</v>
      </c>
      <c r="I91" s="116" t="s">
        <v>29</v>
      </c>
      <c r="J91" s="89"/>
      <c r="K91" s="89"/>
      <c r="L91" s="89"/>
      <c r="M91" s="96" t="s">
        <v>29</v>
      </c>
      <c r="N91" s="108"/>
      <c r="O91" s="92" t="s">
        <v>29</v>
      </c>
      <c r="P91" s="93" t="s">
        <v>29</v>
      </c>
      <c r="Q91" s="97" t="s">
        <v>29</v>
      </c>
      <c r="R91" s="92" t="s">
        <v>29</v>
      </c>
      <c r="S91" s="92" t="s">
        <v>29</v>
      </c>
      <c r="T91" s="92" t="s">
        <v>29</v>
      </c>
      <c r="U91" s="116" t="s">
        <v>29</v>
      </c>
    </row>
    <row r="92" spans="1:21" ht="13.2" x14ac:dyDescent="0.25">
      <c r="A92" s="67" t="s">
        <v>29</v>
      </c>
      <c r="B92" s="108"/>
      <c r="C92" s="92" t="s">
        <v>29</v>
      </c>
      <c r="D92" s="93" t="s">
        <v>29</v>
      </c>
      <c r="E92" s="97" t="s">
        <v>29</v>
      </c>
      <c r="F92" s="92" t="s">
        <v>29</v>
      </c>
      <c r="G92" s="92" t="s">
        <v>29</v>
      </c>
      <c r="H92" s="92" t="s">
        <v>29</v>
      </c>
      <c r="I92" s="116" t="s">
        <v>29</v>
      </c>
      <c r="J92" s="89"/>
      <c r="K92" s="89"/>
      <c r="L92" s="89"/>
      <c r="M92" s="96" t="s">
        <v>29</v>
      </c>
      <c r="N92" s="108"/>
      <c r="O92" s="92" t="s">
        <v>29</v>
      </c>
      <c r="P92" s="93" t="s">
        <v>29</v>
      </c>
      <c r="Q92" s="97" t="s">
        <v>29</v>
      </c>
      <c r="R92" s="92" t="s">
        <v>29</v>
      </c>
      <c r="S92" s="92" t="s">
        <v>29</v>
      </c>
      <c r="T92" s="92" t="s">
        <v>29</v>
      </c>
      <c r="U92" s="116" t="s">
        <v>29</v>
      </c>
    </row>
    <row r="93" spans="1:21" ht="13.2" x14ac:dyDescent="0.25">
      <c r="A93" s="67" t="s">
        <v>29</v>
      </c>
      <c r="B93" s="108"/>
      <c r="C93" s="92" t="s">
        <v>29</v>
      </c>
      <c r="D93" s="93" t="s">
        <v>29</v>
      </c>
      <c r="E93" s="97" t="s">
        <v>29</v>
      </c>
      <c r="F93" s="92" t="s">
        <v>29</v>
      </c>
      <c r="G93" s="92" t="s">
        <v>29</v>
      </c>
      <c r="H93" s="92" t="s">
        <v>29</v>
      </c>
      <c r="I93" s="116" t="s">
        <v>29</v>
      </c>
      <c r="J93" s="89"/>
      <c r="K93" s="89"/>
      <c r="L93" s="89"/>
      <c r="M93" s="96" t="s">
        <v>29</v>
      </c>
      <c r="N93" s="108"/>
      <c r="O93" s="92" t="s">
        <v>29</v>
      </c>
      <c r="P93" s="93" t="s">
        <v>29</v>
      </c>
      <c r="Q93" s="97" t="s">
        <v>29</v>
      </c>
      <c r="R93" s="92" t="s">
        <v>29</v>
      </c>
      <c r="S93" s="92" t="s">
        <v>29</v>
      </c>
      <c r="T93" s="92" t="s">
        <v>29</v>
      </c>
      <c r="U93" s="116" t="s">
        <v>29</v>
      </c>
    </row>
    <row r="94" spans="1:21" ht="13.2" x14ac:dyDescent="0.25">
      <c r="A94" s="67" t="s">
        <v>29</v>
      </c>
      <c r="B94" s="108"/>
      <c r="C94" s="92" t="s">
        <v>29</v>
      </c>
      <c r="D94" s="93" t="s">
        <v>29</v>
      </c>
      <c r="E94" s="97" t="s">
        <v>29</v>
      </c>
      <c r="F94" s="92" t="s">
        <v>29</v>
      </c>
      <c r="G94" s="92" t="s">
        <v>29</v>
      </c>
      <c r="H94" s="92" t="s">
        <v>29</v>
      </c>
      <c r="I94" s="116" t="s">
        <v>29</v>
      </c>
      <c r="J94" s="89"/>
      <c r="K94" s="89"/>
      <c r="L94" s="89"/>
      <c r="M94" s="96" t="s">
        <v>29</v>
      </c>
      <c r="N94" s="108"/>
      <c r="O94" s="92" t="s">
        <v>29</v>
      </c>
      <c r="P94" s="93" t="s">
        <v>29</v>
      </c>
      <c r="Q94" s="97" t="s">
        <v>29</v>
      </c>
      <c r="R94" s="92" t="s">
        <v>29</v>
      </c>
      <c r="S94" s="92" t="s">
        <v>29</v>
      </c>
      <c r="T94" s="92" t="s">
        <v>29</v>
      </c>
      <c r="U94" s="116" t="s">
        <v>29</v>
      </c>
    </row>
    <row r="95" spans="1:21" ht="13.2" x14ac:dyDescent="0.25">
      <c r="A95" s="67" t="s">
        <v>29</v>
      </c>
      <c r="B95" s="108"/>
      <c r="C95" s="92" t="s">
        <v>29</v>
      </c>
      <c r="D95" s="93" t="s">
        <v>29</v>
      </c>
      <c r="E95" s="97" t="s">
        <v>29</v>
      </c>
      <c r="F95" s="92" t="s">
        <v>29</v>
      </c>
      <c r="G95" s="92" t="s">
        <v>29</v>
      </c>
      <c r="H95" s="92" t="s">
        <v>29</v>
      </c>
      <c r="I95" s="116" t="s">
        <v>29</v>
      </c>
      <c r="J95" s="89"/>
      <c r="K95" s="89"/>
      <c r="L95" s="89"/>
      <c r="M95" s="96" t="s">
        <v>29</v>
      </c>
      <c r="N95" s="108"/>
      <c r="O95" s="92" t="s">
        <v>29</v>
      </c>
      <c r="P95" s="93" t="s">
        <v>29</v>
      </c>
      <c r="Q95" s="97" t="s">
        <v>29</v>
      </c>
      <c r="R95" s="92" t="s">
        <v>29</v>
      </c>
      <c r="S95" s="92" t="s">
        <v>29</v>
      </c>
      <c r="T95" s="92" t="s">
        <v>29</v>
      </c>
      <c r="U95" s="116" t="s">
        <v>29</v>
      </c>
    </row>
    <row r="96" spans="1:21" ht="13.2" x14ac:dyDescent="0.25">
      <c r="A96" s="67" t="s">
        <v>29</v>
      </c>
      <c r="B96" s="108"/>
      <c r="C96" s="92" t="s">
        <v>29</v>
      </c>
      <c r="D96" s="93" t="s">
        <v>29</v>
      </c>
      <c r="E96" s="97" t="s">
        <v>29</v>
      </c>
      <c r="F96" s="92" t="s">
        <v>29</v>
      </c>
      <c r="G96" s="92" t="s">
        <v>29</v>
      </c>
      <c r="H96" s="92" t="s">
        <v>29</v>
      </c>
      <c r="I96" s="116" t="s">
        <v>29</v>
      </c>
      <c r="J96" s="89"/>
      <c r="K96" s="89"/>
      <c r="L96" s="89"/>
      <c r="M96" s="96" t="s">
        <v>29</v>
      </c>
      <c r="N96" s="108"/>
      <c r="O96" s="92" t="s">
        <v>29</v>
      </c>
      <c r="P96" s="93" t="s">
        <v>29</v>
      </c>
      <c r="Q96" s="97" t="s">
        <v>29</v>
      </c>
      <c r="R96" s="92" t="s">
        <v>29</v>
      </c>
      <c r="S96" s="92" t="s">
        <v>29</v>
      </c>
      <c r="T96" s="92" t="s">
        <v>29</v>
      </c>
      <c r="U96" s="116" t="s">
        <v>29</v>
      </c>
    </row>
    <row r="97" spans="1:21" ht="13.2" x14ac:dyDescent="0.25">
      <c r="A97" s="67" t="s">
        <v>29</v>
      </c>
      <c r="B97" s="108"/>
      <c r="C97" s="92" t="s">
        <v>29</v>
      </c>
      <c r="D97" s="93" t="s">
        <v>29</v>
      </c>
      <c r="E97" s="97" t="s">
        <v>29</v>
      </c>
      <c r="F97" s="92" t="s">
        <v>29</v>
      </c>
      <c r="G97" s="92" t="s">
        <v>29</v>
      </c>
      <c r="H97" s="92" t="s">
        <v>29</v>
      </c>
      <c r="I97" s="116" t="s">
        <v>29</v>
      </c>
      <c r="J97" s="89"/>
      <c r="K97" s="89"/>
      <c r="L97" s="89"/>
      <c r="M97" s="96" t="s">
        <v>29</v>
      </c>
      <c r="N97" s="108"/>
      <c r="O97" s="92" t="s">
        <v>29</v>
      </c>
      <c r="P97" s="93" t="s">
        <v>29</v>
      </c>
      <c r="Q97" s="97" t="s">
        <v>29</v>
      </c>
      <c r="R97" s="92" t="s">
        <v>29</v>
      </c>
      <c r="S97" s="92" t="s">
        <v>29</v>
      </c>
      <c r="T97" s="92" t="s">
        <v>29</v>
      </c>
      <c r="U97" s="116" t="s">
        <v>29</v>
      </c>
    </row>
    <row r="98" spans="1:21" ht="13.2" x14ac:dyDescent="0.25">
      <c r="A98" s="67" t="s">
        <v>29</v>
      </c>
      <c r="B98" s="108"/>
      <c r="C98" s="92" t="s">
        <v>29</v>
      </c>
      <c r="D98" s="93" t="s">
        <v>29</v>
      </c>
      <c r="E98" s="97" t="s">
        <v>29</v>
      </c>
      <c r="F98" s="92" t="s">
        <v>29</v>
      </c>
      <c r="G98" s="92" t="s">
        <v>29</v>
      </c>
      <c r="H98" s="92" t="s">
        <v>29</v>
      </c>
      <c r="I98" s="116" t="s">
        <v>29</v>
      </c>
      <c r="J98" s="89"/>
      <c r="K98" s="89"/>
      <c r="L98" s="89"/>
      <c r="M98" s="96" t="s">
        <v>29</v>
      </c>
      <c r="N98" s="108"/>
      <c r="O98" s="92" t="s">
        <v>29</v>
      </c>
      <c r="P98" s="98" t="s">
        <v>29</v>
      </c>
      <c r="Q98" s="97" t="s">
        <v>29</v>
      </c>
      <c r="R98" s="92" t="s">
        <v>29</v>
      </c>
      <c r="S98" s="92" t="s">
        <v>29</v>
      </c>
      <c r="T98" s="92" t="s">
        <v>29</v>
      </c>
      <c r="U98" s="116" t="s">
        <v>29</v>
      </c>
    </row>
    <row r="99" spans="1:21" ht="13.2" x14ac:dyDescent="0.25">
      <c r="A99" s="67"/>
      <c r="B99" s="108"/>
      <c r="C99" s="92" t="s">
        <v>29</v>
      </c>
      <c r="D99" s="93" t="s">
        <v>29</v>
      </c>
      <c r="E99" s="97" t="s">
        <v>29</v>
      </c>
      <c r="F99" s="92" t="s">
        <v>29</v>
      </c>
      <c r="G99" s="92" t="s">
        <v>29</v>
      </c>
      <c r="H99" s="92" t="s">
        <v>29</v>
      </c>
      <c r="I99" s="116" t="s">
        <v>29</v>
      </c>
      <c r="J99" s="89"/>
      <c r="K99" s="89"/>
      <c r="L99" s="89"/>
      <c r="M99" s="96"/>
      <c r="N99" s="108"/>
      <c r="O99" s="92" t="s">
        <v>29</v>
      </c>
      <c r="P99" s="98" t="s">
        <v>29</v>
      </c>
      <c r="Q99" s="97" t="s">
        <v>29</v>
      </c>
      <c r="R99" s="92" t="s">
        <v>29</v>
      </c>
      <c r="S99" s="92" t="s">
        <v>29</v>
      </c>
      <c r="T99" s="92" t="s">
        <v>29</v>
      </c>
      <c r="U99" s="116" t="s">
        <v>29</v>
      </c>
    </row>
    <row r="100" spans="1:21" ht="13.2" x14ac:dyDescent="0.25">
      <c r="A100" s="67"/>
      <c r="B100" s="108"/>
      <c r="C100" s="92" t="s">
        <v>29</v>
      </c>
      <c r="D100" s="98" t="s">
        <v>29</v>
      </c>
      <c r="E100" s="97" t="s">
        <v>29</v>
      </c>
      <c r="F100" s="92" t="s">
        <v>29</v>
      </c>
      <c r="G100" s="92" t="s">
        <v>29</v>
      </c>
      <c r="H100" s="92" t="s">
        <v>29</v>
      </c>
      <c r="I100" s="116" t="s">
        <v>29</v>
      </c>
      <c r="J100" s="89"/>
      <c r="K100" s="89"/>
      <c r="L100" s="89"/>
      <c r="M100" s="96"/>
      <c r="N100" s="108"/>
      <c r="O100" s="92" t="s">
        <v>29</v>
      </c>
      <c r="P100" s="98" t="s">
        <v>29</v>
      </c>
      <c r="Q100" s="97" t="s">
        <v>29</v>
      </c>
      <c r="R100" s="92" t="s">
        <v>29</v>
      </c>
      <c r="S100" s="92" t="s">
        <v>29</v>
      </c>
      <c r="T100" s="92" t="s">
        <v>29</v>
      </c>
      <c r="U100" s="116" t="s">
        <v>29</v>
      </c>
    </row>
    <row r="101" spans="1:21" ht="13.2" x14ac:dyDescent="0.25">
      <c r="A101" s="67"/>
      <c r="B101" s="108"/>
      <c r="C101" s="92" t="s">
        <v>29</v>
      </c>
      <c r="D101" s="98" t="s">
        <v>29</v>
      </c>
      <c r="E101" s="97" t="s">
        <v>29</v>
      </c>
      <c r="F101" s="92" t="s">
        <v>29</v>
      </c>
      <c r="G101" s="92" t="s">
        <v>29</v>
      </c>
      <c r="H101" s="92" t="s">
        <v>29</v>
      </c>
      <c r="I101" s="116" t="s">
        <v>29</v>
      </c>
      <c r="J101" s="89"/>
      <c r="K101" s="89"/>
      <c r="L101" s="89"/>
      <c r="M101" s="96"/>
      <c r="N101" s="108"/>
      <c r="O101" s="92" t="s">
        <v>29</v>
      </c>
      <c r="P101" s="98" t="s">
        <v>29</v>
      </c>
      <c r="Q101" s="97" t="s">
        <v>29</v>
      </c>
      <c r="R101" s="92" t="s">
        <v>29</v>
      </c>
      <c r="S101" s="92" t="s">
        <v>29</v>
      </c>
      <c r="T101" s="92" t="s">
        <v>29</v>
      </c>
      <c r="U101" s="116" t="s">
        <v>29</v>
      </c>
    </row>
    <row r="102" spans="1:21" ht="13.2" x14ac:dyDescent="0.25">
      <c r="A102" s="67"/>
      <c r="B102" s="108"/>
      <c r="C102" s="92" t="s">
        <v>29</v>
      </c>
      <c r="D102" s="98" t="s">
        <v>29</v>
      </c>
      <c r="E102" s="97" t="s">
        <v>29</v>
      </c>
      <c r="F102" s="92" t="s">
        <v>29</v>
      </c>
      <c r="G102" s="92" t="s">
        <v>29</v>
      </c>
      <c r="H102" s="92" t="s">
        <v>29</v>
      </c>
      <c r="I102" s="116" t="s">
        <v>29</v>
      </c>
      <c r="J102" s="89"/>
      <c r="K102" s="89"/>
      <c r="L102" s="89"/>
      <c r="M102" s="96"/>
      <c r="N102" s="108"/>
      <c r="O102" s="92" t="s">
        <v>29</v>
      </c>
      <c r="P102" s="98" t="s">
        <v>29</v>
      </c>
      <c r="Q102" s="97" t="s">
        <v>29</v>
      </c>
      <c r="R102" s="92" t="s">
        <v>29</v>
      </c>
      <c r="S102" s="92" t="s">
        <v>29</v>
      </c>
      <c r="T102" s="92" t="s">
        <v>29</v>
      </c>
      <c r="U102" s="116" t="s">
        <v>29</v>
      </c>
    </row>
    <row r="103" spans="1:21" ht="13.2" x14ac:dyDescent="0.25">
      <c r="A103" s="67"/>
      <c r="B103" s="108"/>
      <c r="C103" s="92" t="s">
        <v>29</v>
      </c>
      <c r="D103" s="98" t="s">
        <v>29</v>
      </c>
      <c r="E103" s="97" t="s">
        <v>29</v>
      </c>
      <c r="F103" s="92" t="s">
        <v>29</v>
      </c>
      <c r="G103" s="92" t="s">
        <v>29</v>
      </c>
      <c r="H103" s="92" t="s">
        <v>29</v>
      </c>
      <c r="I103" s="116" t="s">
        <v>29</v>
      </c>
      <c r="J103" s="89"/>
      <c r="K103" s="89"/>
      <c r="L103" s="89"/>
      <c r="M103" s="96"/>
      <c r="N103" s="108"/>
      <c r="O103" s="92" t="s">
        <v>29</v>
      </c>
      <c r="P103" s="98" t="s">
        <v>29</v>
      </c>
      <c r="Q103" s="97" t="s">
        <v>29</v>
      </c>
      <c r="R103" s="92" t="s">
        <v>29</v>
      </c>
      <c r="S103" s="92" t="s">
        <v>29</v>
      </c>
      <c r="T103" s="92" t="s">
        <v>29</v>
      </c>
      <c r="U103" s="116" t="s">
        <v>29</v>
      </c>
    </row>
    <row r="104" spans="1:21" ht="13.2" x14ac:dyDescent="0.25">
      <c r="A104" s="67" t="s">
        <v>29</v>
      </c>
      <c r="B104" s="108"/>
      <c r="C104" s="219" t="s">
        <v>995</v>
      </c>
      <c r="D104" s="220"/>
      <c r="E104" s="220"/>
      <c r="F104" s="220"/>
      <c r="G104" s="99">
        <v>5</v>
      </c>
      <c r="H104" s="99">
        <v>3</v>
      </c>
      <c r="I104" s="116" t="s">
        <v>29</v>
      </c>
      <c r="J104" s="89"/>
      <c r="K104" s="89"/>
      <c r="L104" s="89"/>
      <c r="M104" s="96" t="s">
        <v>29</v>
      </c>
      <c r="N104" s="108"/>
      <c r="O104" s="219" t="s">
        <v>996</v>
      </c>
      <c r="P104" s="220"/>
      <c r="Q104" s="220"/>
      <c r="R104" s="220"/>
      <c r="S104" s="99">
        <v>5</v>
      </c>
      <c r="T104" s="99">
        <v>3</v>
      </c>
      <c r="U104" s="116" t="s">
        <v>29</v>
      </c>
    </row>
    <row r="105" spans="1:21" ht="13.2" x14ac:dyDescent="0.25">
      <c r="A105" s="67"/>
      <c r="B105" s="66"/>
      <c r="C105" s="117"/>
      <c r="D105" s="66"/>
      <c r="E105" s="66"/>
      <c r="F105" s="66"/>
      <c r="G105" s="66"/>
      <c r="H105" s="66"/>
      <c r="I105" s="66" t="s">
        <v>29</v>
      </c>
      <c r="J105" s="66"/>
      <c r="K105" s="66"/>
      <c r="L105" s="66"/>
      <c r="M105" s="74"/>
      <c r="N105" s="66"/>
      <c r="O105" s="66"/>
      <c r="P105" s="66"/>
      <c r="Q105" s="66"/>
      <c r="R105" s="66"/>
      <c r="S105" s="66"/>
      <c r="T105" s="66"/>
      <c r="U105" s="66" t="s">
        <v>29</v>
      </c>
    </row>
    <row r="106" spans="1:21" ht="13.2" x14ac:dyDescent="0.25">
      <c r="A106" s="67"/>
      <c r="B106" s="66"/>
      <c r="C106" s="118" t="s">
        <v>997</v>
      </c>
      <c r="D106" s="89"/>
      <c r="E106" s="89"/>
      <c r="F106" s="89"/>
      <c r="G106" s="89"/>
      <c r="H106" s="89"/>
      <c r="I106" s="89" t="s">
        <v>29</v>
      </c>
      <c r="J106" s="89"/>
      <c r="K106" s="89"/>
      <c r="L106" s="89"/>
      <c r="M106" s="96"/>
      <c r="N106" s="119"/>
      <c r="O106" s="120" t="s">
        <v>998</v>
      </c>
      <c r="P106" s="119"/>
      <c r="Q106" s="221" t="s">
        <v>2006</v>
      </c>
      <c r="R106" s="220"/>
      <c r="S106" s="220"/>
      <c r="T106" s="222"/>
      <c r="U106" s="66" t="s">
        <v>29</v>
      </c>
    </row>
    <row r="107" spans="1:21" ht="13.2" x14ac:dyDescent="0.25">
      <c r="A107" s="67"/>
      <c r="B107" s="66"/>
      <c r="C107" s="245" t="s">
        <v>2007</v>
      </c>
      <c r="D107" s="227"/>
      <c r="E107" s="227"/>
      <c r="F107" s="227"/>
      <c r="G107" s="227"/>
      <c r="H107" s="228"/>
      <c r="I107" s="89" t="s">
        <v>29</v>
      </c>
      <c r="J107" s="89"/>
      <c r="K107" s="89"/>
      <c r="L107" s="89"/>
      <c r="M107" s="96"/>
      <c r="N107" s="119"/>
      <c r="O107" s="120" t="s">
        <v>1001</v>
      </c>
      <c r="P107" s="121"/>
      <c r="Q107" s="221" t="s">
        <v>2008</v>
      </c>
      <c r="R107" s="220"/>
      <c r="S107" s="220"/>
      <c r="T107" s="222"/>
      <c r="U107" s="66" t="s">
        <v>29</v>
      </c>
    </row>
    <row r="108" spans="1:21" ht="13.2" x14ac:dyDescent="0.25">
      <c r="A108" s="67"/>
      <c r="B108" s="66"/>
      <c r="C108" s="231"/>
      <c r="D108" s="232"/>
      <c r="E108" s="232"/>
      <c r="F108" s="232"/>
      <c r="G108" s="232"/>
      <c r="H108" s="233"/>
      <c r="I108" s="89" t="s">
        <v>29</v>
      </c>
      <c r="J108" s="89"/>
      <c r="K108" s="89"/>
      <c r="L108" s="89"/>
      <c r="M108" s="96"/>
      <c r="N108" s="119"/>
      <c r="O108" s="120"/>
      <c r="P108" s="121"/>
      <c r="Q108" s="223"/>
      <c r="R108" s="224"/>
      <c r="S108" s="224"/>
      <c r="T108" s="224"/>
      <c r="U108" s="66" t="s">
        <v>29</v>
      </c>
    </row>
    <row r="109" spans="1:21" ht="13.2" x14ac:dyDescent="0.25">
      <c r="A109" s="67"/>
      <c r="B109" s="66"/>
      <c r="C109" s="118" t="s">
        <v>1003</v>
      </c>
      <c r="D109" s="122"/>
      <c r="E109" s="225" t="s">
        <v>2009</v>
      </c>
      <c r="F109" s="220"/>
      <c r="G109" s="220"/>
      <c r="H109" s="222"/>
      <c r="I109" s="89" t="s">
        <v>29</v>
      </c>
      <c r="J109" s="89"/>
      <c r="K109" s="89"/>
      <c r="L109" s="89"/>
      <c r="M109" s="96"/>
      <c r="N109" s="119"/>
      <c r="O109" s="118" t="s">
        <v>1004</v>
      </c>
      <c r="P109" s="122"/>
      <c r="Q109" s="225" t="s">
        <v>2010</v>
      </c>
      <c r="R109" s="220"/>
      <c r="S109" s="220"/>
      <c r="T109" s="222"/>
      <c r="U109" s="66" t="s">
        <v>29</v>
      </c>
    </row>
    <row r="110" spans="1:21" ht="13.2" x14ac:dyDescent="0.25">
      <c r="A110" s="67"/>
      <c r="B110" s="66"/>
      <c r="C110" s="118" t="s">
        <v>1006</v>
      </c>
      <c r="D110" s="122"/>
      <c r="E110" s="122"/>
      <c r="F110" s="122"/>
      <c r="G110" s="122"/>
      <c r="H110" s="122"/>
      <c r="I110" s="89" t="s">
        <v>29</v>
      </c>
      <c r="J110" s="89"/>
      <c r="K110" s="89"/>
      <c r="L110" s="89"/>
      <c r="M110" s="96"/>
      <c r="N110" s="119"/>
      <c r="O110" s="120" t="s">
        <v>1007</v>
      </c>
      <c r="P110" s="121"/>
      <c r="Q110" s="121"/>
      <c r="R110" s="121"/>
      <c r="S110" s="121"/>
      <c r="T110" s="121"/>
      <c r="U110" s="66" t="s">
        <v>29</v>
      </c>
    </row>
    <row r="111" spans="1:21" ht="13.2" x14ac:dyDescent="0.25">
      <c r="A111" s="67"/>
      <c r="B111" s="66"/>
      <c r="C111" s="242"/>
      <c r="D111" s="227"/>
      <c r="E111" s="227"/>
      <c r="F111" s="227"/>
      <c r="G111" s="227"/>
      <c r="H111" s="228"/>
      <c r="I111" s="66" t="s">
        <v>29</v>
      </c>
      <c r="J111" s="66"/>
      <c r="K111" s="66"/>
      <c r="L111" s="66"/>
      <c r="M111" s="74"/>
      <c r="N111" s="123"/>
      <c r="O111" s="240"/>
      <c r="P111" s="227"/>
      <c r="Q111" s="227"/>
      <c r="R111" s="227"/>
      <c r="S111" s="227"/>
      <c r="T111" s="228"/>
      <c r="U111" s="66" t="s">
        <v>29</v>
      </c>
    </row>
    <row r="112" spans="1:21" ht="13.2" x14ac:dyDescent="0.25">
      <c r="A112" s="67"/>
      <c r="B112" s="66"/>
      <c r="C112" s="229"/>
      <c r="D112" s="224"/>
      <c r="E112" s="224"/>
      <c r="F112" s="224"/>
      <c r="G112" s="224"/>
      <c r="H112" s="230"/>
      <c r="I112" s="66" t="s">
        <v>29</v>
      </c>
      <c r="J112" s="66"/>
      <c r="K112" s="66"/>
      <c r="L112" s="66"/>
      <c r="M112" s="74"/>
      <c r="N112" s="123"/>
      <c r="O112" s="229"/>
      <c r="P112" s="224"/>
      <c r="Q112" s="224"/>
      <c r="R112" s="224"/>
      <c r="S112" s="224"/>
      <c r="T112" s="230"/>
      <c r="U112" s="66" t="s">
        <v>29</v>
      </c>
    </row>
    <row r="113" spans="1:21" ht="13.2" x14ac:dyDescent="0.25">
      <c r="A113" s="67"/>
      <c r="B113" s="66"/>
      <c r="C113" s="229"/>
      <c r="D113" s="224"/>
      <c r="E113" s="224"/>
      <c r="F113" s="224"/>
      <c r="G113" s="224"/>
      <c r="H113" s="230"/>
      <c r="I113" s="66" t="s">
        <v>29</v>
      </c>
      <c r="J113" s="66"/>
      <c r="K113" s="66"/>
      <c r="L113" s="66"/>
      <c r="M113" s="74"/>
      <c r="N113" s="123"/>
      <c r="O113" s="229"/>
      <c r="P113" s="224"/>
      <c r="Q113" s="224"/>
      <c r="R113" s="224"/>
      <c r="S113" s="224"/>
      <c r="T113" s="230"/>
      <c r="U113" s="66" t="s">
        <v>29</v>
      </c>
    </row>
    <row r="114" spans="1:21" ht="13.2" x14ac:dyDescent="0.25">
      <c r="A114" s="67"/>
      <c r="B114" s="66"/>
      <c r="C114" s="231"/>
      <c r="D114" s="232"/>
      <c r="E114" s="232"/>
      <c r="F114" s="232"/>
      <c r="G114" s="232"/>
      <c r="H114" s="233"/>
      <c r="I114" s="66" t="s">
        <v>29</v>
      </c>
      <c r="J114" s="66"/>
      <c r="K114" s="66"/>
      <c r="L114" s="66"/>
      <c r="M114" s="74"/>
      <c r="N114" s="123"/>
      <c r="O114" s="231"/>
      <c r="P114" s="232"/>
      <c r="Q114" s="232"/>
      <c r="R114" s="232"/>
      <c r="S114" s="232"/>
      <c r="T114" s="233"/>
      <c r="U114" s="66" t="s">
        <v>29</v>
      </c>
    </row>
    <row r="115" spans="1:21" ht="13.2" x14ac:dyDescent="0.25">
      <c r="A115" s="67"/>
      <c r="B115" s="66"/>
      <c r="C115" s="117"/>
      <c r="D115" s="66"/>
      <c r="E115" s="66"/>
      <c r="F115" s="66"/>
      <c r="G115" s="66"/>
      <c r="H115" s="66"/>
      <c r="I115" s="66" t="s">
        <v>29</v>
      </c>
      <c r="J115" s="66"/>
      <c r="K115" s="66"/>
      <c r="L115" s="66"/>
      <c r="M115" s="74"/>
      <c r="N115" s="66"/>
      <c r="O115" s="66"/>
      <c r="P115" s="66"/>
      <c r="Q115" s="66"/>
      <c r="R115" s="66"/>
      <c r="S115" s="66"/>
      <c r="T115" s="66"/>
      <c r="U115" s="66" t="s">
        <v>29</v>
      </c>
    </row>
    <row r="116" spans="1:21" ht="17.399999999999999" x14ac:dyDescent="0.25">
      <c r="A116" s="67"/>
      <c r="B116" s="124"/>
      <c r="C116" s="125"/>
      <c r="D116" s="126" t="s">
        <v>912</v>
      </c>
      <c r="E116" s="127">
        <v>2</v>
      </c>
      <c r="F116" s="36"/>
      <c r="G116" s="36"/>
      <c r="H116" s="36"/>
      <c r="I116" s="129" t="s">
        <v>29</v>
      </c>
      <c r="J116" s="129"/>
      <c r="K116" s="129"/>
      <c r="L116" s="129"/>
      <c r="M116" s="129"/>
      <c r="N116" s="129"/>
      <c r="O116" s="129"/>
      <c r="P116" s="126" t="s">
        <v>913</v>
      </c>
      <c r="Q116" s="241">
        <v>45461</v>
      </c>
      <c r="R116" s="224"/>
      <c r="S116" s="224"/>
      <c r="T116" s="224"/>
      <c r="U116" s="148" t="s">
        <v>29</v>
      </c>
    </row>
    <row r="117" spans="1:21" ht="15.6" x14ac:dyDescent="0.25">
      <c r="A117" s="67"/>
      <c r="B117" s="131"/>
      <c r="C117" s="132"/>
      <c r="D117" s="133" t="s">
        <v>914</v>
      </c>
      <c r="E117" s="133"/>
      <c r="F117" s="39"/>
      <c r="G117" s="39"/>
      <c r="H117" s="39"/>
      <c r="I117" s="39" t="s">
        <v>29</v>
      </c>
      <c r="J117" s="39"/>
      <c r="K117" s="39"/>
      <c r="L117" s="39"/>
      <c r="M117" s="39"/>
      <c r="N117" s="39"/>
      <c r="O117" s="39"/>
      <c r="P117" s="135" t="s">
        <v>3</v>
      </c>
      <c r="Q117" s="235" t="s">
        <v>863</v>
      </c>
      <c r="R117" s="224"/>
      <c r="S117" s="224"/>
      <c r="T117" s="224"/>
      <c r="U117" s="39" t="s">
        <v>29</v>
      </c>
    </row>
    <row r="118" spans="1:21" ht="15.6" x14ac:dyDescent="0.25">
      <c r="A118" s="67"/>
      <c r="B118" s="136"/>
      <c r="C118" s="137"/>
      <c r="D118" s="133"/>
      <c r="E118" s="133"/>
      <c r="F118" s="39"/>
      <c r="G118" s="39"/>
      <c r="H118" s="39"/>
      <c r="I118" s="39" t="s">
        <v>29</v>
      </c>
      <c r="J118" s="39"/>
      <c r="K118" s="39"/>
      <c r="L118" s="39"/>
      <c r="M118" s="39"/>
      <c r="N118" s="39"/>
      <c r="O118" s="39"/>
      <c r="P118" s="133"/>
      <c r="Q118" s="133"/>
      <c r="R118" s="133"/>
      <c r="S118" s="39"/>
      <c r="T118" s="39"/>
      <c r="U118" s="39" t="s">
        <v>29</v>
      </c>
    </row>
    <row r="119" spans="1:21" ht="17.399999999999999" x14ac:dyDescent="0.25">
      <c r="A119" s="67"/>
      <c r="B119" s="149"/>
      <c r="C119" s="257" t="s">
        <v>859</v>
      </c>
      <c r="D119" s="220"/>
      <c r="E119" s="271" t="s">
        <v>907</v>
      </c>
      <c r="F119" s="220"/>
      <c r="G119" s="222"/>
      <c r="H119" s="150" t="s">
        <v>2011</v>
      </c>
      <c r="I119" s="151" t="s">
        <v>29</v>
      </c>
      <c r="J119" s="152"/>
      <c r="K119" s="152"/>
      <c r="L119" s="152"/>
      <c r="M119" s="153"/>
      <c r="N119" s="64"/>
      <c r="O119" s="236" t="s">
        <v>860</v>
      </c>
      <c r="P119" s="220"/>
      <c r="Q119" s="261" t="s">
        <v>908</v>
      </c>
      <c r="R119" s="220"/>
      <c r="S119" s="222"/>
      <c r="T119" s="154" t="s">
        <v>2012</v>
      </c>
      <c r="U119" s="155" t="s">
        <v>29</v>
      </c>
    </row>
    <row r="120" spans="1:21" ht="17.399999999999999" x14ac:dyDescent="0.25">
      <c r="A120" s="67"/>
      <c r="B120" s="156"/>
      <c r="C120" s="265" t="s">
        <v>2</v>
      </c>
      <c r="D120" s="222"/>
      <c r="E120" s="266">
        <v>23</v>
      </c>
      <c r="F120" s="220"/>
      <c r="G120" s="220"/>
      <c r="H120" s="157"/>
      <c r="I120" s="151" t="s">
        <v>29</v>
      </c>
      <c r="J120" s="158"/>
      <c r="K120" s="158"/>
      <c r="L120" s="158"/>
      <c r="M120" s="159"/>
      <c r="N120" s="64"/>
      <c r="O120" s="262" t="s">
        <v>2</v>
      </c>
      <c r="P120" s="222"/>
      <c r="Q120" s="263">
        <v>31</v>
      </c>
      <c r="R120" s="220"/>
      <c r="S120" s="220"/>
      <c r="T120" s="160"/>
      <c r="U120" s="155" t="s">
        <v>29</v>
      </c>
    </row>
    <row r="121" spans="1:21" ht="13.2" x14ac:dyDescent="0.25">
      <c r="A121" s="67"/>
      <c r="B121" s="66"/>
      <c r="C121" s="66"/>
      <c r="D121" s="66"/>
      <c r="E121" s="66"/>
      <c r="F121" s="66"/>
      <c r="G121" s="66"/>
      <c r="H121" s="66"/>
      <c r="I121" s="66" t="s">
        <v>29</v>
      </c>
      <c r="J121" s="66"/>
      <c r="K121" s="66"/>
      <c r="L121" s="66"/>
      <c r="M121" s="74"/>
      <c r="N121" s="66"/>
      <c r="O121" s="66"/>
      <c r="P121" s="66"/>
      <c r="Q121" s="66"/>
      <c r="R121" s="66"/>
      <c r="S121" s="66"/>
      <c r="T121" s="66"/>
      <c r="U121" s="66" t="s">
        <v>29</v>
      </c>
    </row>
    <row r="122" spans="1:21" ht="13.2" x14ac:dyDescent="0.25">
      <c r="A122" s="67"/>
      <c r="B122" s="66"/>
      <c r="C122" s="68"/>
      <c r="D122" s="69"/>
      <c r="E122" s="70"/>
      <c r="F122" s="71"/>
      <c r="G122" s="72" t="s">
        <v>917</v>
      </c>
      <c r="H122" s="73" t="s">
        <v>918</v>
      </c>
      <c r="I122" s="66" t="s">
        <v>29</v>
      </c>
      <c r="J122" s="66"/>
      <c r="K122" s="66"/>
      <c r="L122" s="66"/>
      <c r="M122" s="74"/>
      <c r="N122" s="66"/>
      <c r="O122" s="68"/>
      <c r="P122" s="69"/>
      <c r="Q122" s="70"/>
      <c r="R122" s="71"/>
      <c r="S122" s="72" t="s">
        <v>917</v>
      </c>
      <c r="T122" s="73" t="s">
        <v>918</v>
      </c>
      <c r="U122" s="66" t="s">
        <v>29</v>
      </c>
    </row>
    <row r="123" spans="1:21" ht="13.2" x14ac:dyDescent="0.25">
      <c r="A123" s="67"/>
      <c r="B123" s="66"/>
      <c r="C123" s="68" t="s">
        <v>919</v>
      </c>
      <c r="D123" s="75" t="s">
        <v>920</v>
      </c>
      <c r="E123" s="76"/>
      <c r="F123" s="77"/>
      <c r="G123" s="78">
        <v>1</v>
      </c>
      <c r="H123" s="79">
        <v>8</v>
      </c>
      <c r="I123" s="66" t="s">
        <v>29</v>
      </c>
      <c r="J123" s="66"/>
      <c r="K123" s="66"/>
      <c r="L123" s="66"/>
      <c r="M123" s="74"/>
      <c r="N123" s="66"/>
      <c r="O123" s="68" t="s">
        <v>921</v>
      </c>
      <c r="P123" s="75" t="s">
        <v>922</v>
      </c>
      <c r="Q123" s="76"/>
      <c r="R123" s="77"/>
      <c r="S123" s="78">
        <v>0</v>
      </c>
      <c r="T123" s="79">
        <v>5</v>
      </c>
      <c r="U123" s="66" t="s">
        <v>29</v>
      </c>
    </row>
    <row r="124" spans="1:21" ht="13.2" x14ac:dyDescent="0.25">
      <c r="A124" s="67"/>
      <c r="B124" s="66"/>
      <c r="C124" s="68" t="s">
        <v>923</v>
      </c>
      <c r="D124" s="75" t="s">
        <v>924</v>
      </c>
      <c r="E124" s="76"/>
      <c r="F124" s="77"/>
      <c r="G124" s="78">
        <v>5</v>
      </c>
      <c r="H124" s="79">
        <v>4</v>
      </c>
      <c r="I124" s="66" t="s">
        <v>29</v>
      </c>
      <c r="J124" s="66"/>
      <c r="K124" s="66"/>
      <c r="L124" s="66"/>
      <c r="M124" s="74"/>
      <c r="N124" s="66"/>
      <c r="O124" s="68" t="s">
        <v>925</v>
      </c>
      <c r="P124" s="75" t="s">
        <v>926</v>
      </c>
      <c r="Q124" s="76"/>
      <c r="R124" s="77"/>
      <c r="S124" s="78">
        <v>0</v>
      </c>
      <c r="T124" s="79">
        <v>5</v>
      </c>
      <c r="U124" s="66" t="s">
        <v>29</v>
      </c>
    </row>
    <row r="125" spans="1:21" ht="13.2" x14ac:dyDescent="0.25">
      <c r="A125" s="67"/>
      <c r="B125" s="66"/>
      <c r="C125" s="68" t="s">
        <v>927</v>
      </c>
      <c r="D125" s="75" t="s">
        <v>928</v>
      </c>
      <c r="E125" s="76"/>
      <c r="F125" s="77"/>
      <c r="G125" s="78">
        <v>8</v>
      </c>
      <c r="H125" s="79">
        <v>0</v>
      </c>
      <c r="I125" s="66" t="s">
        <v>29</v>
      </c>
      <c r="J125" s="66"/>
      <c r="K125" s="66"/>
      <c r="L125" s="66"/>
      <c r="M125" s="74"/>
      <c r="N125" s="66"/>
      <c r="O125" s="68" t="s">
        <v>929</v>
      </c>
      <c r="P125" s="75" t="s">
        <v>930</v>
      </c>
      <c r="Q125" s="76"/>
      <c r="R125" s="77"/>
      <c r="S125" s="78">
        <v>0</v>
      </c>
      <c r="T125" s="79">
        <v>9</v>
      </c>
      <c r="U125" s="66" t="s">
        <v>29</v>
      </c>
    </row>
    <row r="126" spans="1:21" ht="13.2" x14ac:dyDescent="0.25">
      <c r="A126" s="67"/>
      <c r="B126" s="66"/>
      <c r="C126" s="68" t="s">
        <v>931</v>
      </c>
      <c r="D126" s="75" t="s">
        <v>932</v>
      </c>
      <c r="E126" s="76"/>
      <c r="F126" s="77"/>
      <c r="G126" s="78">
        <v>0</v>
      </c>
      <c r="H126" s="79">
        <v>0</v>
      </c>
      <c r="I126" s="66" t="s">
        <v>29</v>
      </c>
      <c r="J126" s="66"/>
      <c r="K126" s="66"/>
      <c r="L126" s="66"/>
      <c r="M126" s="74"/>
      <c r="N126" s="66"/>
      <c r="O126" s="68" t="s">
        <v>933</v>
      </c>
      <c r="P126" s="75" t="s">
        <v>934</v>
      </c>
      <c r="Q126" s="76"/>
      <c r="R126" s="77"/>
      <c r="S126" s="78">
        <v>9</v>
      </c>
      <c r="T126" s="79">
        <v>0</v>
      </c>
      <c r="U126" s="66" t="s">
        <v>29</v>
      </c>
    </row>
    <row r="127" spans="1:21" ht="13.2" x14ac:dyDescent="0.25">
      <c r="A127" s="67"/>
      <c r="B127" s="66"/>
      <c r="C127" s="80"/>
      <c r="D127" s="81" t="s">
        <v>935</v>
      </c>
      <c r="E127" s="82"/>
      <c r="F127" s="83"/>
      <c r="G127" s="72">
        <v>14</v>
      </c>
      <c r="H127" s="73">
        <v>12</v>
      </c>
      <c r="I127" s="66" t="s">
        <v>29</v>
      </c>
      <c r="J127" s="66"/>
      <c r="K127" s="66"/>
      <c r="L127" s="66"/>
      <c r="M127" s="74"/>
      <c r="N127" s="66"/>
      <c r="O127" s="80"/>
      <c r="P127" s="81" t="s">
        <v>935</v>
      </c>
      <c r="Q127" s="82"/>
      <c r="R127" s="83"/>
      <c r="S127" s="72">
        <v>9</v>
      </c>
      <c r="T127" s="73">
        <v>19</v>
      </c>
      <c r="U127" s="66" t="s">
        <v>29</v>
      </c>
    </row>
    <row r="128" spans="1:21" ht="13.2" x14ac:dyDescent="0.25">
      <c r="A128" s="67"/>
      <c r="B128" s="66"/>
      <c r="C128" s="66"/>
      <c r="D128" s="66"/>
      <c r="E128" s="66"/>
      <c r="F128" s="66"/>
      <c r="G128" s="66"/>
      <c r="H128" s="66"/>
      <c r="I128" s="66" t="s">
        <v>29</v>
      </c>
      <c r="J128" s="66"/>
      <c r="K128" s="66"/>
      <c r="L128" s="66"/>
      <c r="M128" s="74"/>
      <c r="N128" s="66"/>
      <c r="O128" s="66"/>
      <c r="P128" s="66"/>
      <c r="Q128" s="66"/>
      <c r="R128" s="66"/>
      <c r="S128" s="66"/>
      <c r="T128" s="66"/>
      <c r="U128" s="66" t="s">
        <v>29</v>
      </c>
    </row>
    <row r="129" spans="1:21" ht="13.2" x14ac:dyDescent="0.25">
      <c r="A129" s="67"/>
      <c r="B129" s="66"/>
      <c r="C129" s="66"/>
      <c r="D129" s="66"/>
      <c r="E129" s="66"/>
      <c r="F129" s="66"/>
      <c r="G129" s="66"/>
      <c r="H129" s="66"/>
      <c r="I129" s="66" t="s">
        <v>29</v>
      </c>
      <c r="J129" s="66"/>
      <c r="K129" s="66"/>
      <c r="L129" s="66"/>
      <c r="M129" s="74"/>
      <c r="N129" s="66"/>
      <c r="O129" s="66"/>
      <c r="P129" s="66"/>
      <c r="Q129" s="66"/>
      <c r="R129" s="66"/>
      <c r="S129" s="66"/>
      <c r="T129" s="66"/>
      <c r="U129" s="66" t="s">
        <v>29</v>
      </c>
    </row>
    <row r="130" spans="1:21" ht="13.2" x14ac:dyDescent="0.25">
      <c r="A130" s="67"/>
      <c r="B130" s="66"/>
      <c r="C130" s="66"/>
      <c r="D130" s="66"/>
      <c r="E130" s="66"/>
      <c r="F130" s="66"/>
      <c r="G130" s="66"/>
      <c r="H130" s="66"/>
      <c r="I130" s="66" t="s">
        <v>29</v>
      </c>
      <c r="J130" s="66"/>
      <c r="K130" s="66"/>
      <c r="L130" s="66"/>
      <c r="M130" s="74"/>
      <c r="N130" s="66"/>
      <c r="O130" s="66"/>
      <c r="P130" s="66"/>
      <c r="Q130" s="66"/>
      <c r="R130" s="66"/>
      <c r="S130" s="66"/>
      <c r="T130" s="66"/>
      <c r="U130" s="66" t="s">
        <v>29</v>
      </c>
    </row>
    <row r="131" spans="1:21" ht="13.2" x14ac:dyDescent="0.25">
      <c r="A131" s="67" t="s">
        <v>919</v>
      </c>
      <c r="B131" s="84"/>
      <c r="C131" s="85" t="s">
        <v>936</v>
      </c>
      <c r="D131" s="86" t="s">
        <v>920</v>
      </c>
      <c r="E131" s="87" t="s">
        <v>2</v>
      </c>
      <c r="F131" s="87" t="s">
        <v>937</v>
      </c>
      <c r="G131" s="87" t="s">
        <v>917</v>
      </c>
      <c r="H131" s="87" t="s">
        <v>918</v>
      </c>
      <c r="I131" s="91" t="s">
        <v>29</v>
      </c>
      <c r="J131" s="89"/>
      <c r="K131" s="89"/>
      <c r="L131" s="89"/>
      <c r="M131" s="90" t="s">
        <v>921</v>
      </c>
      <c r="N131" s="91"/>
      <c r="O131" s="85" t="s">
        <v>936</v>
      </c>
      <c r="P131" s="86" t="s">
        <v>922</v>
      </c>
      <c r="Q131" s="87" t="s">
        <v>2</v>
      </c>
      <c r="R131" s="87" t="s">
        <v>937</v>
      </c>
      <c r="S131" s="87" t="s">
        <v>917</v>
      </c>
      <c r="T131" s="87" t="s">
        <v>918</v>
      </c>
      <c r="U131" s="91" t="s">
        <v>29</v>
      </c>
    </row>
    <row r="132" spans="1:21" ht="13.2" x14ac:dyDescent="0.25">
      <c r="A132" s="67" t="s">
        <v>919</v>
      </c>
      <c r="B132" s="84"/>
      <c r="C132" s="92">
        <v>1</v>
      </c>
      <c r="D132" s="93" t="s">
        <v>2013</v>
      </c>
      <c r="E132" s="94" t="s">
        <v>776</v>
      </c>
      <c r="F132" s="92" t="s">
        <v>2012</v>
      </c>
      <c r="G132" s="92" t="s">
        <v>29</v>
      </c>
      <c r="H132" s="92">
        <v>5</v>
      </c>
      <c r="I132" s="115" t="s">
        <v>29</v>
      </c>
      <c r="J132" s="89"/>
      <c r="K132" s="89"/>
      <c r="L132" s="89"/>
      <c r="M132" s="96" t="s">
        <v>921</v>
      </c>
      <c r="N132" s="84"/>
      <c r="O132" s="92">
        <v>1</v>
      </c>
      <c r="P132" s="93" t="s">
        <v>2014</v>
      </c>
      <c r="Q132" s="94" t="s">
        <v>778</v>
      </c>
      <c r="R132" s="92" t="s">
        <v>2012</v>
      </c>
      <c r="S132" s="92" t="s">
        <v>29</v>
      </c>
      <c r="T132" s="92">
        <v>5</v>
      </c>
      <c r="U132" s="115" t="s">
        <v>29</v>
      </c>
    </row>
    <row r="133" spans="1:21" ht="13.2" x14ac:dyDescent="0.25">
      <c r="A133" s="67" t="s">
        <v>919</v>
      </c>
      <c r="B133" s="84"/>
      <c r="C133" s="92">
        <v>2</v>
      </c>
      <c r="D133" s="93" t="s">
        <v>2015</v>
      </c>
      <c r="E133" s="97" t="s">
        <v>773</v>
      </c>
      <c r="F133" s="92" t="s">
        <v>2012</v>
      </c>
      <c r="G133" s="92" t="s">
        <v>29</v>
      </c>
      <c r="H133" s="92">
        <v>3</v>
      </c>
      <c r="I133" s="115" t="s">
        <v>29</v>
      </c>
      <c r="J133" s="89"/>
      <c r="K133" s="89"/>
      <c r="L133" s="89"/>
      <c r="M133" s="96" t="s">
        <v>29</v>
      </c>
      <c r="N133" s="84"/>
      <c r="O133" s="92" t="s">
        <v>29</v>
      </c>
      <c r="P133" s="93" t="s">
        <v>29</v>
      </c>
      <c r="Q133" s="97" t="s">
        <v>29</v>
      </c>
      <c r="R133" s="92" t="s">
        <v>29</v>
      </c>
      <c r="S133" s="92" t="s">
        <v>29</v>
      </c>
      <c r="T133" s="92" t="s">
        <v>29</v>
      </c>
      <c r="U133" s="115" t="s">
        <v>29</v>
      </c>
    </row>
    <row r="134" spans="1:21" ht="13.2" x14ac:dyDescent="0.25">
      <c r="A134" s="67" t="s">
        <v>919</v>
      </c>
      <c r="B134" s="84"/>
      <c r="C134" s="92">
        <v>3</v>
      </c>
      <c r="D134" s="93" t="s">
        <v>2016</v>
      </c>
      <c r="E134" s="97" t="s">
        <v>386</v>
      </c>
      <c r="F134" s="92" t="s">
        <v>2011</v>
      </c>
      <c r="G134" s="92">
        <v>1</v>
      </c>
      <c r="H134" s="92" t="s">
        <v>29</v>
      </c>
      <c r="I134" s="115" t="s">
        <v>29</v>
      </c>
      <c r="J134" s="89"/>
      <c r="K134" s="89"/>
      <c r="L134" s="89"/>
      <c r="M134" s="96" t="s">
        <v>29</v>
      </c>
      <c r="N134" s="84"/>
      <c r="O134" s="92" t="s">
        <v>29</v>
      </c>
      <c r="P134" s="93" t="s">
        <v>29</v>
      </c>
      <c r="Q134" s="97" t="s">
        <v>29</v>
      </c>
      <c r="R134" s="92" t="s">
        <v>29</v>
      </c>
      <c r="S134" s="92" t="s">
        <v>29</v>
      </c>
      <c r="T134" s="92" t="s">
        <v>29</v>
      </c>
      <c r="U134" s="115" t="s">
        <v>29</v>
      </c>
    </row>
    <row r="135" spans="1:21" ht="13.2" x14ac:dyDescent="0.25">
      <c r="A135" s="67" t="s">
        <v>919</v>
      </c>
      <c r="B135" s="84"/>
      <c r="C135" s="92">
        <v>4</v>
      </c>
      <c r="D135" s="93" t="s">
        <v>2017</v>
      </c>
      <c r="E135" s="97" t="s">
        <v>388</v>
      </c>
      <c r="F135" s="92" t="s">
        <v>2011</v>
      </c>
      <c r="G135" s="92" t="s">
        <v>29</v>
      </c>
      <c r="H135" s="92" t="s">
        <v>29</v>
      </c>
      <c r="I135" s="115" t="s">
        <v>29</v>
      </c>
      <c r="J135" s="89"/>
      <c r="K135" s="89"/>
      <c r="L135" s="89"/>
      <c r="M135" s="96" t="s">
        <v>29</v>
      </c>
      <c r="N135" s="84"/>
      <c r="O135" s="92" t="s">
        <v>29</v>
      </c>
      <c r="P135" s="93" t="s">
        <v>29</v>
      </c>
      <c r="Q135" s="97" t="s">
        <v>29</v>
      </c>
      <c r="R135" s="92" t="s">
        <v>29</v>
      </c>
      <c r="S135" s="92" t="s">
        <v>29</v>
      </c>
      <c r="T135" s="92" t="s">
        <v>29</v>
      </c>
      <c r="U135" s="115" t="s">
        <v>29</v>
      </c>
    </row>
    <row r="136" spans="1:21" ht="13.2" x14ac:dyDescent="0.25">
      <c r="A136" s="67" t="s">
        <v>919</v>
      </c>
      <c r="B136" s="84"/>
      <c r="C136" s="92">
        <v>5</v>
      </c>
      <c r="D136" s="93" t="s">
        <v>2018</v>
      </c>
      <c r="E136" s="97" t="s">
        <v>775</v>
      </c>
      <c r="F136" s="92" t="s">
        <v>2012</v>
      </c>
      <c r="G136" s="92" t="s">
        <v>29</v>
      </c>
      <c r="H136" s="92" t="s">
        <v>29</v>
      </c>
      <c r="I136" s="115" t="s">
        <v>29</v>
      </c>
      <c r="J136" s="89"/>
      <c r="K136" s="89"/>
      <c r="L136" s="89"/>
      <c r="M136" s="96" t="s">
        <v>29</v>
      </c>
      <c r="N136" s="84"/>
      <c r="O136" s="92" t="s">
        <v>29</v>
      </c>
      <c r="P136" s="93" t="s">
        <v>29</v>
      </c>
      <c r="Q136" s="97" t="s">
        <v>29</v>
      </c>
      <c r="R136" s="92" t="s">
        <v>29</v>
      </c>
      <c r="S136" s="92" t="s">
        <v>29</v>
      </c>
      <c r="T136" s="92" t="s">
        <v>29</v>
      </c>
      <c r="U136" s="115" t="s">
        <v>29</v>
      </c>
    </row>
    <row r="137" spans="1:21" ht="13.2" x14ac:dyDescent="0.25">
      <c r="A137" s="67" t="s">
        <v>919</v>
      </c>
      <c r="B137" s="84"/>
      <c r="C137" s="92">
        <v>6</v>
      </c>
      <c r="D137" s="93" t="s">
        <v>2019</v>
      </c>
      <c r="E137" s="97" t="s">
        <v>772</v>
      </c>
      <c r="F137" s="92" t="s">
        <v>2012</v>
      </c>
      <c r="G137" s="92" t="s">
        <v>29</v>
      </c>
      <c r="H137" s="92" t="s">
        <v>29</v>
      </c>
      <c r="I137" s="115" t="s">
        <v>29</v>
      </c>
      <c r="J137" s="89"/>
      <c r="K137" s="89"/>
      <c r="L137" s="89"/>
      <c r="M137" s="96" t="s">
        <v>29</v>
      </c>
      <c r="N137" s="84"/>
      <c r="O137" s="92" t="s">
        <v>29</v>
      </c>
      <c r="P137" s="93" t="s">
        <v>29</v>
      </c>
      <c r="Q137" s="97" t="s">
        <v>29</v>
      </c>
      <c r="R137" s="92" t="s">
        <v>29</v>
      </c>
      <c r="S137" s="92" t="s">
        <v>29</v>
      </c>
      <c r="T137" s="92" t="s">
        <v>29</v>
      </c>
      <c r="U137" s="115" t="s">
        <v>29</v>
      </c>
    </row>
    <row r="138" spans="1:21" ht="13.2" x14ac:dyDescent="0.25">
      <c r="A138" s="67" t="s">
        <v>919</v>
      </c>
      <c r="B138" s="84"/>
      <c r="C138" s="92">
        <v>7</v>
      </c>
      <c r="D138" s="93" t="s">
        <v>2020</v>
      </c>
      <c r="E138" s="97" t="s">
        <v>385</v>
      </c>
      <c r="F138" s="92" t="s">
        <v>2011</v>
      </c>
      <c r="G138" s="92" t="s">
        <v>29</v>
      </c>
      <c r="H138" s="92" t="s">
        <v>29</v>
      </c>
      <c r="I138" s="115" t="s">
        <v>29</v>
      </c>
      <c r="J138" s="89"/>
      <c r="K138" s="89"/>
      <c r="L138" s="89"/>
      <c r="M138" s="96" t="s">
        <v>29</v>
      </c>
      <c r="N138" s="84"/>
      <c r="O138" s="92" t="s">
        <v>29</v>
      </c>
      <c r="P138" s="93" t="s">
        <v>29</v>
      </c>
      <c r="Q138" s="97" t="s">
        <v>29</v>
      </c>
      <c r="R138" s="92" t="s">
        <v>29</v>
      </c>
      <c r="S138" s="92" t="s">
        <v>29</v>
      </c>
      <c r="T138" s="92" t="s">
        <v>29</v>
      </c>
      <c r="U138" s="115" t="s">
        <v>29</v>
      </c>
    </row>
    <row r="139" spans="1:21" ht="13.2" x14ac:dyDescent="0.25">
      <c r="A139" s="67" t="s">
        <v>919</v>
      </c>
      <c r="B139" s="84"/>
      <c r="C139" s="92">
        <v>8</v>
      </c>
      <c r="D139" s="98" t="s">
        <v>2021</v>
      </c>
      <c r="E139" s="97" t="s">
        <v>384</v>
      </c>
      <c r="F139" s="92" t="s">
        <v>2011</v>
      </c>
      <c r="G139" s="92" t="s">
        <v>29</v>
      </c>
      <c r="H139" s="92" t="s">
        <v>29</v>
      </c>
      <c r="I139" s="115" t="s">
        <v>29</v>
      </c>
      <c r="J139" s="89"/>
      <c r="K139" s="89"/>
      <c r="L139" s="89"/>
      <c r="M139" s="96" t="s">
        <v>29</v>
      </c>
      <c r="N139" s="84"/>
      <c r="O139" s="92" t="s">
        <v>29</v>
      </c>
      <c r="P139" s="93" t="s">
        <v>29</v>
      </c>
      <c r="Q139" s="97" t="s">
        <v>29</v>
      </c>
      <c r="R139" s="92" t="s">
        <v>29</v>
      </c>
      <c r="S139" s="92" t="s">
        <v>29</v>
      </c>
      <c r="T139" s="92" t="s">
        <v>29</v>
      </c>
      <c r="U139" s="115" t="s">
        <v>29</v>
      </c>
    </row>
    <row r="140" spans="1:21" ht="13.2" x14ac:dyDescent="0.25">
      <c r="A140" s="67" t="s">
        <v>919</v>
      </c>
      <c r="B140" s="84"/>
      <c r="C140" s="92">
        <v>9</v>
      </c>
      <c r="D140" s="98" t="s">
        <v>2022</v>
      </c>
      <c r="E140" s="97" t="s">
        <v>777</v>
      </c>
      <c r="F140" s="92" t="s">
        <v>2012</v>
      </c>
      <c r="G140" s="92" t="s">
        <v>29</v>
      </c>
      <c r="H140" s="92" t="s">
        <v>29</v>
      </c>
      <c r="I140" s="115" t="s">
        <v>29</v>
      </c>
      <c r="J140" s="89"/>
      <c r="K140" s="89"/>
      <c r="L140" s="89"/>
      <c r="M140" s="96" t="s">
        <v>29</v>
      </c>
      <c r="N140" s="84"/>
      <c r="O140" s="92" t="s">
        <v>29</v>
      </c>
      <c r="P140" s="93" t="s">
        <v>29</v>
      </c>
      <c r="Q140" s="97" t="s">
        <v>29</v>
      </c>
      <c r="R140" s="92" t="s">
        <v>29</v>
      </c>
      <c r="S140" s="92" t="s">
        <v>29</v>
      </c>
      <c r="T140" s="92" t="s">
        <v>29</v>
      </c>
      <c r="U140" s="115" t="s">
        <v>29</v>
      </c>
    </row>
    <row r="141" spans="1:21" ht="13.2" x14ac:dyDescent="0.25">
      <c r="A141" s="67" t="s">
        <v>919</v>
      </c>
      <c r="B141" s="84"/>
      <c r="C141" s="92">
        <v>10</v>
      </c>
      <c r="D141" s="98" t="s">
        <v>2023</v>
      </c>
      <c r="E141" s="97" t="s">
        <v>774</v>
      </c>
      <c r="F141" s="92" t="s">
        <v>2012</v>
      </c>
      <c r="G141" s="92" t="s">
        <v>29</v>
      </c>
      <c r="H141" s="92" t="s">
        <v>29</v>
      </c>
      <c r="I141" s="115" t="s">
        <v>29</v>
      </c>
      <c r="J141" s="89"/>
      <c r="K141" s="89"/>
      <c r="L141" s="89"/>
      <c r="M141" s="96" t="s">
        <v>29</v>
      </c>
      <c r="N141" s="84"/>
      <c r="O141" s="92" t="s">
        <v>29</v>
      </c>
      <c r="P141" s="93" t="s">
        <v>29</v>
      </c>
      <c r="Q141" s="97" t="s">
        <v>29</v>
      </c>
      <c r="R141" s="92" t="s">
        <v>29</v>
      </c>
      <c r="S141" s="92" t="s">
        <v>29</v>
      </c>
      <c r="T141" s="92" t="s">
        <v>29</v>
      </c>
      <c r="U141" s="115" t="s">
        <v>29</v>
      </c>
    </row>
    <row r="142" spans="1:21" ht="13.2" x14ac:dyDescent="0.25">
      <c r="A142" s="67" t="s">
        <v>919</v>
      </c>
      <c r="B142" s="84"/>
      <c r="C142" s="92">
        <v>11</v>
      </c>
      <c r="D142" s="98" t="s">
        <v>2024</v>
      </c>
      <c r="E142" s="97" t="s">
        <v>337</v>
      </c>
      <c r="F142" s="92" t="s">
        <v>2011</v>
      </c>
      <c r="G142" s="92" t="s">
        <v>29</v>
      </c>
      <c r="H142" s="92" t="s">
        <v>29</v>
      </c>
      <c r="I142" s="115" t="s">
        <v>29</v>
      </c>
      <c r="J142" s="89"/>
      <c r="K142" s="89"/>
      <c r="L142" s="89"/>
      <c r="M142" s="96" t="s">
        <v>29</v>
      </c>
      <c r="N142" s="84"/>
      <c r="O142" s="92" t="s">
        <v>29</v>
      </c>
      <c r="P142" s="93" t="s">
        <v>29</v>
      </c>
      <c r="Q142" s="97" t="s">
        <v>29</v>
      </c>
      <c r="R142" s="92" t="s">
        <v>29</v>
      </c>
      <c r="S142" s="92" t="s">
        <v>29</v>
      </c>
      <c r="T142" s="92" t="s">
        <v>29</v>
      </c>
      <c r="U142" s="115" t="s">
        <v>29</v>
      </c>
    </row>
    <row r="143" spans="1:21" ht="13.2" x14ac:dyDescent="0.25">
      <c r="A143" s="67" t="s">
        <v>919</v>
      </c>
      <c r="B143" s="84"/>
      <c r="C143" s="92">
        <v>12</v>
      </c>
      <c r="D143" s="98" t="s">
        <v>2025</v>
      </c>
      <c r="E143" s="97" t="s">
        <v>389</v>
      </c>
      <c r="F143" s="92" t="s">
        <v>2011</v>
      </c>
      <c r="G143" s="92" t="s">
        <v>29</v>
      </c>
      <c r="H143" s="92" t="s">
        <v>29</v>
      </c>
      <c r="I143" s="115" t="s">
        <v>29</v>
      </c>
      <c r="J143" s="89"/>
      <c r="K143" s="89"/>
      <c r="L143" s="89"/>
      <c r="M143" s="96" t="s">
        <v>29</v>
      </c>
      <c r="N143" s="84"/>
      <c r="O143" s="92" t="s">
        <v>29</v>
      </c>
      <c r="P143" s="98" t="s">
        <v>29</v>
      </c>
      <c r="Q143" s="97" t="s">
        <v>29</v>
      </c>
      <c r="R143" s="92" t="s">
        <v>29</v>
      </c>
      <c r="S143" s="92" t="s">
        <v>29</v>
      </c>
      <c r="T143" s="92" t="s">
        <v>29</v>
      </c>
      <c r="U143" s="115" t="s">
        <v>29</v>
      </c>
    </row>
    <row r="144" spans="1:21" ht="13.2" x14ac:dyDescent="0.25">
      <c r="A144" s="67" t="s">
        <v>919</v>
      </c>
      <c r="B144" s="84"/>
      <c r="C144" s="92">
        <v>13</v>
      </c>
      <c r="D144" s="98" t="s">
        <v>2026</v>
      </c>
      <c r="E144" s="97" t="s">
        <v>390</v>
      </c>
      <c r="F144" s="92" t="s">
        <v>2011</v>
      </c>
      <c r="G144" s="92" t="s">
        <v>29</v>
      </c>
      <c r="H144" s="92" t="s">
        <v>29</v>
      </c>
      <c r="I144" s="115" t="s">
        <v>29</v>
      </c>
      <c r="J144" s="89"/>
      <c r="K144" s="89"/>
      <c r="L144" s="89"/>
      <c r="M144" s="96" t="s">
        <v>29</v>
      </c>
      <c r="N144" s="84"/>
      <c r="O144" s="92" t="s">
        <v>29</v>
      </c>
      <c r="P144" s="98" t="s">
        <v>29</v>
      </c>
      <c r="Q144" s="97" t="s">
        <v>29</v>
      </c>
      <c r="R144" s="92" t="s">
        <v>29</v>
      </c>
      <c r="S144" s="92" t="s">
        <v>29</v>
      </c>
      <c r="T144" s="92" t="s">
        <v>29</v>
      </c>
      <c r="U144" s="115" t="s">
        <v>29</v>
      </c>
    </row>
    <row r="145" spans="1:21" ht="13.2" x14ac:dyDescent="0.25">
      <c r="A145" s="67" t="s">
        <v>29</v>
      </c>
      <c r="B145" s="84"/>
      <c r="C145" s="92" t="s">
        <v>29</v>
      </c>
      <c r="D145" s="98" t="s">
        <v>29</v>
      </c>
      <c r="E145" s="97" t="s">
        <v>29</v>
      </c>
      <c r="F145" s="92" t="s">
        <v>29</v>
      </c>
      <c r="G145" s="92" t="s">
        <v>29</v>
      </c>
      <c r="H145" s="92" t="s">
        <v>29</v>
      </c>
      <c r="I145" s="115" t="s">
        <v>29</v>
      </c>
      <c r="J145" s="89"/>
      <c r="K145" s="89"/>
      <c r="L145" s="89"/>
      <c r="M145" s="96" t="s">
        <v>29</v>
      </c>
      <c r="N145" s="84"/>
      <c r="O145" s="92" t="s">
        <v>29</v>
      </c>
      <c r="P145" s="98" t="s">
        <v>29</v>
      </c>
      <c r="Q145" s="97" t="s">
        <v>29</v>
      </c>
      <c r="R145" s="92" t="s">
        <v>29</v>
      </c>
      <c r="S145" s="92" t="s">
        <v>29</v>
      </c>
      <c r="T145" s="92" t="s">
        <v>29</v>
      </c>
      <c r="U145" s="115" t="s">
        <v>29</v>
      </c>
    </row>
    <row r="146" spans="1:21" ht="13.2" x14ac:dyDescent="0.25">
      <c r="A146" s="67" t="s">
        <v>29</v>
      </c>
      <c r="B146" s="84"/>
      <c r="C146" s="92" t="s">
        <v>29</v>
      </c>
      <c r="D146" s="98" t="s">
        <v>29</v>
      </c>
      <c r="E146" s="97" t="s">
        <v>29</v>
      </c>
      <c r="F146" s="92" t="s">
        <v>29</v>
      </c>
      <c r="G146" s="92" t="s">
        <v>29</v>
      </c>
      <c r="H146" s="92" t="s">
        <v>29</v>
      </c>
      <c r="I146" s="115" t="s">
        <v>29</v>
      </c>
      <c r="J146" s="89"/>
      <c r="K146" s="89"/>
      <c r="L146" s="89"/>
      <c r="M146" s="96" t="s">
        <v>29</v>
      </c>
      <c r="N146" s="84"/>
      <c r="O146" s="92" t="s">
        <v>29</v>
      </c>
      <c r="P146" s="98" t="s">
        <v>29</v>
      </c>
      <c r="Q146" s="97" t="s">
        <v>29</v>
      </c>
      <c r="R146" s="92" t="s">
        <v>29</v>
      </c>
      <c r="S146" s="92" t="s">
        <v>29</v>
      </c>
      <c r="T146" s="92" t="s">
        <v>29</v>
      </c>
      <c r="U146" s="115" t="s">
        <v>29</v>
      </c>
    </row>
    <row r="147" spans="1:21" ht="13.2" x14ac:dyDescent="0.25">
      <c r="A147" s="67" t="s">
        <v>29</v>
      </c>
      <c r="B147" s="84"/>
      <c r="C147" s="92" t="s">
        <v>29</v>
      </c>
      <c r="D147" s="98" t="s">
        <v>29</v>
      </c>
      <c r="E147" s="97" t="s">
        <v>29</v>
      </c>
      <c r="F147" s="92" t="s">
        <v>29</v>
      </c>
      <c r="G147" s="92" t="s">
        <v>29</v>
      </c>
      <c r="H147" s="92" t="s">
        <v>29</v>
      </c>
      <c r="I147" s="115" t="s">
        <v>29</v>
      </c>
      <c r="J147" s="89"/>
      <c r="K147" s="89"/>
      <c r="L147" s="89"/>
      <c r="M147" s="96" t="s">
        <v>29</v>
      </c>
      <c r="N147" s="84"/>
      <c r="O147" s="92" t="s">
        <v>29</v>
      </c>
      <c r="P147" s="98" t="s">
        <v>29</v>
      </c>
      <c r="Q147" s="97" t="s">
        <v>29</v>
      </c>
      <c r="R147" s="92" t="s">
        <v>29</v>
      </c>
      <c r="S147" s="92" t="s">
        <v>29</v>
      </c>
      <c r="T147" s="92" t="s">
        <v>29</v>
      </c>
      <c r="U147" s="115" t="s">
        <v>29</v>
      </c>
    </row>
    <row r="148" spans="1:21" ht="13.2" x14ac:dyDescent="0.25">
      <c r="A148" s="67" t="s">
        <v>29</v>
      </c>
      <c r="B148" s="84"/>
      <c r="C148" s="92" t="s">
        <v>29</v>
      </c>
      <c r="D148" s="98" t="s">
        <v>29</v>
      </c>
      <c r="E148" s="97" t="s">
        <v>29</v>
      </c>
      <c r="F148" s="92" t="s">
        <v>29</v>
      </c>
      <c r="G148" s="92" t="s">
        <v>29</v>
      </c>
      <c r="H148" s="92" t="s">
        <v>29</v>
      </c>
      <c r="I148" s="115" t="s">
        <v>29</v>
      </c>
      <c r="J148" s="89"/>
      <c r="K148" s="89"/>
      <c r="L148" s="89"/>
      <c r="M148" s="96" t="s">
        <v>29</v>
      </c>
      <c r="N148" s="84"/>
      <c r="O148" s="92" t="s">
        <v>29</v>
      </c>
      <c r="P148" s="98" t="s">
        <v>29</v>
      </c>
      <c r="Q148" s="97" t="s">
        <v>29</v>
      </c>
      <c r="R148" s="92" t="s">
        <v>29</v>
      </c>
      <c r="S148" s="92" t="s">
        <v>29</v>
      </c>
      <c r="T148" s="92" t="s">
        <v>29</v>
      </c>
      <c r="U148" s="115" t="s">
        <v>29</v>
      </c>
    </row>
    <row r="149" spans="1:21" ht="13.2" x14ac:dyDescent="0.25">
      <c r="A149" s="67" t="s">
        <v>29</v>
      </c>
      <c r="B149" s="84"/>
      <c r="C149" s="92" t="s">
        <v>29</v>
      </c>
      <c r="D149" s="98" t="s">
        <v>29</v>
      </c>
      <c r="E149" s="97" t="s">
        <v>29</v>
      </c>
      <c r="F149" s="92" t="s">
        <v>29</v>
      </c>
      <c r="G149" s="92" t="s">
        <v>29</v>
      </c>
      <c r="H149" s="92" t="s">
        <v>29</v>
      </c>
      <c r="I149" s="115" t="s">
        <v>29</v>
      </c>
      <c r="J149" s="89"/>
      <c r="K149" s="89"/>
      <c r="L149" s="89"/>
      <c r="M149" s="96" t="s">
        <v>29</v>
      </c>
      <c r="N149" s="84"/>
      <c r="O149" s="92" t="s">
        <v>29</v>
      </c>
      <c r="P149" s="98" t="s">
        <v>29</v>
      </c>
      <c r="Q149" s="97" t="s">
        <v>29</v>
      </c>
      <c r="R149" s="92" t="s">
        <v>29</v>
      </c>
      <c r="S149" s="92" t="s">
        <v>29</v>
      </c>
      <c r="T149" s="92" t="s">
        <v>29</v>
      </c>
      <c r="U149" s="115" t="s">
        <v>29</v>
      </c>
    </row>
    <row r="150" spans="1:21" ht="13.2" x14ac:dyDescent="0.25">
      <c r="A150" s="67" t="s">
        <v>29</v>
      </c>
      <c r="B150" s="84"/>
      <c r="C150" s="92" t="s">
        <v>29</v>
      </c>
      <c r="D150" s="98" t="s">
        <v>29</v>
      </c>
      <c r="E150" s="97" t="s">
        <v>29</v>
      </c>
      <c r="F150" s="92" t="s">
        <v>29</v>
      </c>
      <c r="G150" s="92" t="s">
        <v>29</v>
      </c>
      <c r="H150" s="92" t="s">
        <v>29</v>
      </c>
      <c r="I150" s="115" t="s">
        <v>29</v>
      </c>
      <c r="J150" s="89"/>
      <c r="K150" s="89"/>
      <c r="L150" s="89"/>
      <c r="M150" s="96" t="s">
        <v>29</v>
      </c>
      <c r="N150" s="84"/>
      <c r="O150" s="92" t="s">
        <v>29</v>
      </c>
      <c r="P150" s="98" t="s">
        <v>29</v>
      </c>
      <c r="Q150" s="97" t="s">
        <v>29</v>
      </c>
      <c r="R150" s="92" t="s">
        <v>29</v>
      </c>
      <c r="S150" s="92" t="s">
        <v>29</v>
      </c>
      <c r="T150" s="92" t="s">
        <v>29</v>
      </c>
      <c r="U150" s="115" t="s">
        <v>29</v>
      </c>
    </row>
    <row r="151" spans="1:21" ht="13.2" x14ac:dyDescent="0.25">
      <c r="A151" s="67" t="s">
        <v>29</v>
      </c>
      <c r="B151" s="84"/>
      <c r="C151" s="92" t="s">
        <v>29</v>
      </c>
      <c r="D151" s="98" t="s">
        <v>29</v>
      </c>
      <c r="E151" s="97" t="s">
        <v>29</v>
      </c>
      <c r="F151" s="92" t="s">
        <v>29</v>
      </c>
      <c r="G151" s="92" t="s">
        <v>29</v>
      </c>
      <c r="H151" s="92" t="s">
        <v>29</v>
      </c>
      <c r="I151" s="115" t="s">
        <v>29</v>
      </c>
      <c r="J151" s="89"/>
      <c r="K151" s="89"/>
      <c r="L151" s="89"/>
      <c r="M151" s="96" t="s">
        <v>29</v>
      </c>
      <c r="N151" s="84"/>
      <c r="O151" s="92" t="s">
        <v>29</v>
      </c>
      <c r="P151" s="98" t="s">
        <v>29</v>
      </c>
      <c r="Q151" s="97" t="s">
        <v>29</v>
      </c>
      <c r="R151" s="92" t="s">
        <v>29</v>
      </c>
      <c r="S151" s="92" t="s">
        <v>29</v>
      </c>
      <c r="T151" s="92" t="s">
        <v>29</v>
      </c>
      <c r="U151" s="115" t="s">
        <v>29</v>
      </c>
    </row>
    <row r="152" spans="1:21" ht="13.2" x14ac:dyDescent="0.25">
      <c r="A152" s="67" t="s">
        <v>29</v>
      </c>
      <c r="B152" s="84"/>
      <c r="C152" s="92" t="s">
        <v>29</v>
      </c>
      <c r="D152" s="98" t="s">
        <v>29</v>
      </c>
      <c r="E152" s="97" t="s">
        <v>29</v>
      </c>
      <c r="F152" s="92" t="s">
        <v>29</v>
      </c>
      <c r="G152" s="92" t="s">
        <v>29</v>
      </c>
      <c r="H152" s="92" t="s">
        <v>29</v>
      </c>
      <c r="I152" s="115" t="s">
        <v>29</v>
      </c>
      <c r="J152" s="89"/>
      <c r="K152" s="89"/>
      <c r="L152" s="89"/>
      <c r="M152" s="96" t="s">
        <v>29</v>
      </c>
      <c r="N152" s="84"/>
      <c r="O152" s="92" t="s">
        <v>29</v>
      </c>
      <c r="P152" s="98" t="s">
        <v>29</v>
      </c>
      <c r="Q152" s="97" t="s">
        <v>29</v>
      </c>
      <c r="R152" s="92" t="s">
        <v>29</v>
      </c>
      <c r="S152" s="92" t="s">
        <v>29</v>
      </c>
      <c r="T152" s="92" t="s">
        <v>29</v>
      </c>
      <c r="U152" s="115" t="s">
        <v>29</v>
      </c>
    </row>
    <row r="153" spans="1:21" ht="13.2" x14ac:dyDescent="0.25">
      <c r="A153" s="67" t="s">
        <v>29</v>
      </c>
      <c r="B153" s="84"/>
      <c r="C153" s="92" t="s">
        <v>29</v>
      </c>
      <c r="D153" s="98" t="s">
        <v>29</v>
      </c>
      <c r="E153" s="97" t="s">
        <v>29</v>
      </c>
      <c r="F153" s="92" t="s">
        <v>29</v>
      </c>
      <c r="G153" s="92" t="s">
        <v>29</v>
      </c>
      <c r="H153" s="92" t="s">
        <v>29</v>
      </c>
      <c r="I153" s="115" t="s">
        <v>29</v>
      </c>
      <c r="J153" s="89"/>
      <c r="K153" s="89"/>
      <c r="L153" s="89"/>
      <c r="M153" s="96" t="s">
        <v>29</v>
      </c>
      <c r="N153" s="84"/>
      <c r="O153" s="92" t="s">
        <v>29</v>
      </c>
      <c r="P153" s="98" t="s">
        <v>29</v>
      </c>
      <c r="Q153" s="97" t="s">
        <v>29</v>
      </c>
      <c r="R153" s="92" t="s">
        <v>29</v>
      </c>
      <c r="S153" s="92" t="s">
        <v>29</v>
      </c>
      <c r="T153" s="92" t="s">
        <v>29</v>
      </c>
      <c r="U153" s="115" t="s">
        <v>29</v>
      </c>
    </row>
    <row r="154" spans="1:21" ht="13.2" x14ac:dyDescent="0.25">
      <c r="A154" s="67" t="s">
        <v>29</v>
      </c>
      <c r="B154" s="84"/>
      <c r="C154" s="92" t="s">
        <v>29</v>
      </c>
      <c r="D154" s="98" t="s">
        <v>29</v>
      </c>
      <c r="E154" s="97" t="s">
        <v>29</v>
      </c>
      <c r="F154" s="92" t="s">
        <v>29</v>
      </c>
      <c r="G154" s="92" t="s">
        <v>29</v>
      </c>
      <c r="H154" s="92" t="s">
        <v>29</v>
      </c>
      <c r="I154" s="115" t="s">
        <v>29</v>
      </c>
      <c r="J154" s="89"/>
      <c r="K154" s="89"/>
      <c r="L154" s="89"/>
      <c r="M154" s="96" t="s">
        <v>29</v>
      </c>
      <c r="N154" s="84"/>
      <c r="O154" s="92" t="s">
        <v>29</v>
      </c>
      <c r="P154" s="98" t="s">
        <v>29</v>
      </c>
      <c r="Q154" s="97" t="s">
        <v>29</v>
      </c>
      <c r="R154" s="92" t="s">
        <v>29</v>
      </c>
      <c r="S154" s="92" t="s">
        <v>29</v>
      </c>
      <c r="T154" s="92" t="s">
        <v>29</v>
      </c>
      <c r="U154" s="115" t="s">
        <v>29</v>
      </c>
    </row>
    <row r="155" spans="1:21" ht="13.2" x14ac:dyDescent="0.25">
      <c r="A155" s="67" t="s">
        <v>29</v>
      </c>
      <c r="B155" s="84"/>
      <c r="C155" s="92" t="s">
        <v>29</v>
      </c>
      <c r="D155" s="98" t="s">
        <v>29</v>
      </c>
      <c r="E155" s="97" t="s">
        <v>29</v>
      </c>
      <c r="F155" s="92" t="s">
        <v>29</v>
      </c>
      <c r="G155" s="92" t="s">
        <v>29</v>
      </c>
      <c r="H155" s="92" t="s">
        <v>29</v>
      </c>
      <c r="I155" s="115" t="s">
        <v>29</v>
      </c>
      <c r="J155" s="89"/>
      <c r="K155" s="89"/>
      <c r="L155" s="89"/>
      <c r="M155" s="96" t="s">
        <v>29</v>
      </c>
      <c r="N155" s="84"/>
      <c r="O155" s="92" t="s">
        <v>29</v>
      </c>
      <c r="P155" s="98" t="s">
        <v>29</v>
      </c>
      <c r="Q155" s="97" t="s">
        <v>29</v>
      </c>
      <c r="R155" s="92" t="s">
        <v>29</v>
      </c>
      <c r="S155" s="92" t="s">
        <v>29</v>
      </c>
      <c r="T155" s="92" t="s">
        <v>29</v>
      </c>
      <c r="U155" s="115" t="s">
        <v>29</v>
      </c>
    </row>
    <row r="156" spans="1:21" ht="13.2" x14ac:dyDescent="0.25">
      <c r="A156" s="67" t="s">
        <v>29</v>
      </c>
      <c r="B156" s="84"/>
      <c r="C156" s="92" t="s">
        <v>29</v>
      </c>
      <c r="D156" s="98" t="s">
        <v>29</v>
      </c>
      <c r="E156" s="97" t="s">
        <v>29</v>
      </c>
      <c r="F156" s="92" t="s">
        <v>29</v>
      </c>
      <c r="G156" s="92" t="s">
        <v>29</v>
      </c>
      <c r="H156" s="92" t="s">
        <v>29</v>
      </c>
      <c r="I156" s="115" t="s">
        <v>29</v>
      </c>
      <c r="J156" s="89"/>
      <c r="K156" s="89"/>
      <c r="L156" s="89"/>
      <c r="M156" s="96" t="s">
        <v>29</v>
      </c>
      <c r="N156" s="84"/>
      <c r="O156" s="92" t="s">
        <v>29</v>
      </c>
      <c r="P156" s="98" t="s">
        <v>29</v>
      </c>
      <c r="Q156" s="97" t="s">
        <v>29</v>
      </c>
      <c r="R156" s="92" t="s">
        <v>29</v>
      </c>
      <c r="S156" s="92" t="s">
        <v>29</v>
      </c>
      <c r="T156" s="92" t="s">
        <v>29</v>
      </c>
      <c r="U156" s="115" t="s">
        <v>29</v>
      </c>
    </row>
    <row r="157" spans="1:21" ht="13.2" x14ac:dyDescent="0.25">
      <c r="A157" s="67" t="s">
        <v>29</v>
      </c>
      <c r="B157" s="84"/>
      <c r="C157" s="219" t="s">
        <v>954</v>
      </c>
      <c r="D157" s="220"/>
      <c r="E157" s="220"/>
      <c r="F157" s="220"/>
      <c r="G157" s="99">
        <v>1</v>
      </c>
      <c r="H157" s="99">
        <v>8</v>
      </c>
      <c r="I157" s="115" t="s">
        <v>29</v>
      </c>
      <c r="J157" s="89"/>
      <c r="K157" s="89"/>
      <c r="L157" s="89"/>
      <c r="M157" s="96" t="s">
        <v>29</v>
      </c>
      <c r="N157" s="84"/>
      <c r="O157" s="219" t="s">
        <v>955</v>
      </c>
      <c r="P157" s="220"/>
      <c r="Q157" s="220"/>
      <c r="R157" s="220"/>
      <c r="S157" s="99">
        <v>0</v>
      </c>
      <c r="T157" s="99">
        <v>5</v>
      </c>
      <c r="U157" s="115" t="s">
        <v>29</v>
      </c>
    </row>
    <row r="158" spans="1:21" ht="13.2" x14ac:dyDescent="0.25">
      <c r="A158" s="67" t="s">
        <v>29</v>
      </c>
      <c r="B158" s="89"/>
      <c r="C158" s="89"/>
      <c r="D158" s="89"/>
      <c r="E158" s="89"/>
      <c r="F158" s="89"/>
      <c r="G158" s="89"/>
      <c r="H158" s="89"/>
      <c r="I158" s="89" t="s">
        <v>29</v>
      </c>
      <c r="J158" s="89"/>
      <c r="K158" s="89"/>
      <c r="L158" s="89"/>
      <c r="M158" s="96" t="s">
        <v>29</v>
      </c>
      <c r="N158" s="89"/>
      <c r="O158" s="89"/>
      <c r="P158" s="89"/>
      <c r="Q158" s="89"/>
      <c r="R158" s="89"/>
      <c r="S158" s="89"/>
      <c r="T158" s="89"/>
      <c r="U158" s="89" t="s">
        <v>29</v>
      </c>
    </row>
    <row r="159" spans="1:21" ht="13.2" x14ac:dyDescent="0.25">
      <c r="A159" s="67" t="s">
        <v>29</v>
      </c>
      <c r="B159" s="101"/>
      <c r="C159" s="101"/>
      <c r="D159" s="101"/>
      <c r="E159" s="101"/>
      <c r="F159" s="101"/>
      <c r="G159" s="101"/>
      <c r="H159" s="101"/>
      <c r="I159" s="101" t="s">
        <v>29</v>
      </c>
      <c r="J159" s="89"/>
      <c r="K159" s="89"/>
      <c r="L159" s="89"/>
      <c r="M159" s="96" t="s">
        <v>29</v>
      </c>
      <c r="N159" s="101"/>
      <c r="O159" s="101"/>
      <c r="P159" s="101"/>
      <c r="Q159" s="101"/>
      <c r="R159" s="101"/>
      <c r="S159" s="101"/>
      <c r="T159" s="101"/>
      <c r="U159" s="101" t="s">
        <v>29</v>
      </c>
    </row>
    <row r="160" spans="1:21" ht="13.2" x14ac:dyDescent="0.25">
      <c r="A160" s="67" t="s">
        <v>923</v>
      </c>
      <c r="B160" s="103"/>
      <c r="C160" s="104" t="s">
        <v>936</v>
      </c>
      <c r="D160" s="105" t="s">
        <v>924</v>
      </c>
      <c r="E160" s="106" t="s">
        <v>2</v>
      </c>
      <c r="F160" s="106" t="s">
        <v>937</v>
      </c>
      <c r="G160" s="106" t="s">
        <v>917</v>
      </c>
      <c r="H160" s="106" t="s">
        <v>918</v>
      </c>
      <c r="I160" s="116" t="s">
        <v>29</v>
      </c>
      <c r="J160" s="89"/>
      <c r="K160" s="89"/>
      <c r="L160" s="89"/>
      <c r="M160" s="90" t="s">
        <v>925</v>
      </c>
      <c r="N160" s="116"/>
      <c r="O160" s="104" t="s">
        <v>936</v>
      </c>
      <c r="P160" s="105" t="s">
        <v>926</v>
      </c>
      <c r="Q160" s="106" t="s">
        <v>2</v>
      </c>
      <c r="R160" s="106" t="s">
        <v>937</v>
      </c>
      <c r="S160" s="106" t="s">
        <v>917</v>
      </c>
      <c r="T160" s="106" t="s">
        <v>918</v>
      </c>
      <c r="U160" s="116" t="s">
        <v>29</v>
      </c>
    </row>
    <row r="161" spans="1:21" ht="13.2" x14ac:dyDescent="0.25">
      <c r="A161" s="67" t="s">
        <v>923</v>
      </c>
      <c r="B161" s="108"/>
      <c r="C161" s="92">
        <v>1</v>
      </c>
      <c r="D161" s="93" t="s">
        <v>2027</v>
      </c>
      <c r="E161" s="94" t="s">
        <v>395</v>
      </c>
      <c r="F161" s="92" t="s">
        <v>2011</v>
      </c>
      <c r="G161" s="92">
        <v>5</v>
      </c>
      <c r="H161" s="92" t="s">
        <v>29</v>
      </c>
      <c r="I161" s="116" t="s">
        <v>29</v>
      </c>
      <c r="J161" s="89"/>
      <c r="K161" s="89"/>
      <c r="L161" s="89"/>
      <c r="M161" s="96" t="s">
        <v>925</v>
      </c>
      <c r="N161" s="108"/>
      <c r="O161" s="92">
        <v>1</v>
      </c>
      <c r="P161" s="93" t="s">
        <v>2028</v>
      </c>
      <c r="Q161" s="94" t="s">
        <v>779</v>
      </c>
      <c r="R161" s="92" t="s">
        <v>2012</v>
      </c>
      <c r="S161" s="92" t="s">
        <v>29</v>
      </c>
      <c r="T161" s="92">
        <v>5</v>
      </c>
      <c r="U161" s="116" t="s">
        <v>64</v>
      </c>
    </row>
    <row r="162" spans="1:21" ht="13.2" x14ac:dyDescent="0.25">
      <c r="A162" s="67" t="s">
        <v>923</v>
      </c>
      <c r="B162" s="108"/>
      <c r="C162" s="92">
        <v>2</v>
      </c>
      <c r="D162" s="93" t="s">
        <v>2029</v>
      </c>
      <c r="E162" s="97" t="s">
        <v>783</v>
      </c>
      <c r="F162" s="92" t="s">
        <v>2012</v>
      </c>
      <c r="G162" s="92" t="s">
        <v>29</v>
      </c>
      <c r="H162" s="92">
        <v>3</v>
      </c>
      <c r="I162" s="116" t="s">
        <v>29</v>
      </c>
      <c r="J162" s="89"/>
      <c r="K162" s="89"/>
      <c r="L162" s="89"/>
      <c r="M162" s="96" t="s">
        <v>29</v>
      </c>
      <c r="N162" s="108"/>
      <c r="O162" s="92" t="s">
        <v>29</v>
      </c>
      <c r="P162" s="93" t="s">
        <v>29</v>
      </c>
      <c r="Q162" s="97" t="s">
        <v>29</v>
      </c>
      <c r="R162" s="92" t="s">
        <v>29</v>
      </c>
      <c r="S162" s="92" t="s">
        <v>29</v>
      </c>
      <c r="T162" s="92" t="s">
        <v>29</v>
      </c>
      <c r="U162" s="116" t="s">
        <v>29</v>
      </c>
    </row>
    <row r="163" spans="1:21" ht="13.2" x14ac:dyDescent="0.25">
      <c r="A163" s="67" t="s">
        <v>923</v>
      </c>
      <c r="B163" s="108"/>
      <c r="C163" s="92">
        <v>3</v>
      </c>
      <c r="D163" s="93" t="s">
        <v>2030</v>
      </c>
      <c r="E163" s="97" t="s">
        <v>155</v>
      </c>
      <c r="F163" s="92" t="s">
        <v>2012</v>
      </c>
      <c r="G163" s="92" t="s">
        <v>29</v>
      </c>
      <c r="H163" s="92">
        <v>1</v>
      </c>
      <c r="I163" s="116" t="s">
        <v>29</v>
      </c>
      <c r="J163" s="89"/>
      <c r="K163" s="89"/>
      <c r="L163" s="89"/>
      <c r="M163" s="96" t="s">
        <v>29</v>
      </c>
      <c r="N163" s="108"/>
      <c r="O163" s="92" t="s">
        <v>29</v>
      </c>
      <c r="P163" s="93" t="s">
        <v>29</v>
      </c>
      <c r="Q163" s="97" t="s">
        <v>29</v>
      </c>
      <c r="R163" s="92" t="s">
        <v>29</v>
      </c>
      <c r="S163" s="92" t="s">
        <v>29</v>
      </c>
      <c r="T163" s="92" t="s">
        <v>29</v>
      </c>
      <c r="U163" s="116" t="s">
        <v>29</v>
      </c>
    </row>
    <row r="164" spans="1:21" ht="13.2" x14ac:dyDescent="0.25">
      <c r="A164" s="67" t="s">
        <v>923</v>
      </c>
      <c r="B164" s="108"/>
      <c r="C164" s="92">
        <v>4</v>
      </c>
      <c r="D164" s="93" t="s">
        <v>2031</v>
      </c>
      <c r="E164" s="97" t="s">
        <v>393</v>
      </c>
      <c r="F164" s="92" t="s">
        <v>2011</v>
      </c>
      <c r="G164" s="92" t="s">
        <v>29</v>
      </c>
      <c r="H164" s="92" t="s">
        <v>29</v>
      </c>
      <c r="I164" s="116" t="s">
        <v>29</v>
      </c>
      <c r="J164" s="89"/>
      <c r="K164" s="89"/>
      <c r="L164" s="89"/>
      <c r="M164" s="96" t="s">
        <v>29</v>
      </c>
      <c r="N164" s="108"/>
      <c r="O164" s="92" t="s">
        <v>29</v>
      </c>
      <c r="P164" s="93" t="s">
        <v>29</v>
      </c>
      <c r="Q164" s="97" t="s">
        <v>29</v>
      </c>
      <c r="R164" s="92" t="s">
        <v>29</v>
      </c>
      <c r="S164" s="92" t="s">
        <v>29</v>
      </c>
      <c r="T164" s="92" t="s">
        <v>29</v>
      </c>
      <c r="U164" s="116" t="s">
        <v>29</v>
      </c>
    </row>
    <row r="165" spans="1:21" ht="13.2" x14ac:dyDescent="0.25">
      <c r="A165" s="67" t="s">
        <v>923</v>
      </c>
      <c r="B165" s="108"/>
      <c r="C165" s="92">
        <v>5</v>
      </c>
      <c r="D165" s="93" t="s">
        <v>2032</v>
      </c>
      <c r="E165" s="97" t="s">
        <v>394</v>
      </c>
      <c r="F165" s="92" t="s">
        <v>2011</v>
      </c>
      <c r="G165" s="92" t="s">
        <v>29</v>
      </c>
      <c r="H165" s="92" t="s">
        <v>29</v>
      </c>
      <c r="I165" s="116" t="s">
        <v>29</v>
      </c>
      <c r="J165" s="89"/>
      <c r="K165" s="89"/>
      <c r="L165" s="89"/>
      <c r="M165" s="96" t="s">
        <v>29</v>
      </c>
      <c r="N165" s="108"/>
      <c r="O165" s="92" t="s">
        <v>29</v>
      </c>
      <c r="P165" s="93" t="s">
        <v>29</v>
      </c>
      <c r="Q165" s="97" t="s">
        <v>29</v>
      </c>
      <c r="R165" s="92" t="s">
        <v>29</v>
      </c>
      <c r="S165" s="92" t="s">
        <v>29</v>
      </c>
      <c r="T165" s="92" t="s">
        <v>29</v>
      </c>
      <c r="U165" s="116" t="s">
        <v>29</v>
      </c>
    </row>
    <row r="166" spans="1:21" ht="13.2" x14ac:dyDescent="0.25">
      <c r="A166" s="67" t="s">
        <v>923</v>
      </c>
      <c r="B166" s="108"/>
      <c r="C166" s="92">
        <v>6</v>
      </c>
      <c r="D166" s="93" t="s">
        <v>2033</v>
      </c>
      <c r="E166" s="97" t="s">
        <v>387</v>
      </c>
      <c r="F166" s="92" t="s">
        <v>2011</v>
      </c>
      <c r="G166" s="92" t="s">
        <v>29</v>
      </c>
      <c r="H166" s="92" t="s">
        <v>29</v>
      </c>
      <c r="I166" s="116" t="s">
        <v>64</v>
      </c>
      <c r="J166" s="89"/>
      <c r="K166" s="89"/>
      <c r="L166" s="89"/>
      <c r="M166" s="96" t="s">
        <v>29</v>
      </c>
      <c r="N166" s="108"/>
      <c r="O166" s="92" t="s">
        <v>29</v>
      </c>
      <c r="P166" s="93" t="s">
        <v>29</v>
      </c>
      <c r="Q166" s="97" t="s">
        <v>29</v>
      </c>
      <c r="R166" s="92" t="s">
        <v>29</v>
      </c>
      <c r="S166" s="92" t="s">
        <v>29</v>
      </c>
      <c r="T166" s="92" t="s">
        <v>29</v>
      </c>
      <c r="U166" s="116" t="s">
        <v>29</v>
      </c>
    </row>
    <row r="167" spans="1:21" ht="13.2" x14ac:dyDescent="0.25">
      <c r="A167" s="67" t="s">
        <v>29</v>
      </c>
      <c r="B167" s="108"/>
      <c r="C167" s="92" t="s">
        <v>29</v>
      </c>
      <c r="D167" s="93" t="s">
        <v>29</v>
      </c>
      <c r="E167" s="97" t="s">
        <v>29</v>
      </c>
      <c r="F167" s="92" t="s">
        <v>29</v>
      </c>
      <c r="G167" s="92" t="s">
        <v>29</v>
      </c>
      <c r="H167" s="92" t="s">
        <v>29</v>
      </c>
      <c r="I167" s="116" t="s">
        <v>29</v>
      </c>
      <c r="J167" s="89"/>
      <c r="K167" s="89"/>
      <c r="L167" s="89"/>
      <c r="M167" s="96" t="s">
        <v>29</v>
      </c>
      <c r="N167" s="108"/>
      <c r="O167" s="92" t="s">
        <v>29</v>
      </c>
      <c r="P167" s="93" t="s">
        <v>29</v>
      </c>
      <c r="Q167" s="97" t="s">
        <v>29</v>
      </c>
      <c r="R167" s="92" t="s">
        <v>29</v>
      </c>
      <c r="S167" s="92" t="s">
        <v>29</v>
      </c>
      <c r="T167" s="92" t="s">
        <v>29</v>
      </c>
      <c r="U167" s="116" t="s">
        <v>29</v>
      </c>
    </row>
    <row r="168" spans="1:21" ht="13.2" x14ac:dyDescent="0.25">
      <c r="A168" s="67" t="s">
        <v>29</v>
      </c>
      <c r="B168" s="108"/>
      <c r="C168" s="92" t="s">
        <v>29</v>
      </c>
      <c r="D168" s="93" t="s">
        <v>29</v>
      </c>
      <c r="E168" s="97" t="s">
        <v>29</v>
      </c>
      <c r="F168" s="92" t="s">
        <v>29</v>
      </c>
      <c r="G168" s="92" t="s">
        <v>29</v>
      </c>
      <c r="H168" s="92" t="s">
        <v>29</v>
      </c>
      <c r="I168" s="116" t="s">
        <v>29</v>
      </c>
      <c r="J168" s="89"/>
      <c r="K168" s="89"/>
      <c r="L168" s="89"/>
      <c r="M168" s="96" t="s">
        <v>29</v>
      </c>
      <c r="N168" s="108"/>
      <c r="O168" s="92" t="s">
        <v>29</v>
      </c>
      <c r="P168" s="93" t="s">
        <v>29</v>
      </c>
      <c r="Q168" s="97" t="s">
        <v>29</v>
      </c>
      <c r="R168" s="92" t="s">
        <v>29</v>
      </c>
      <c r="S168" s="92" t="s">
        <v>29</v>
      </c>
      <c r="T168" s="92" t="s">
        <v>29</v>
      </c>
      <c r="U168" s="116" t="s">
        <v>29</v>
      </c>
    </row>
    <row r="169" spans="1:21" ht="13.2" x14ac:dyDescent="0.25">
      <c r="A169" s="67" t="s">
        <v>29</v>
      </c>
      <c r="B169" s="108"/>
      <c r="C169" s="92" t="s">
        <v>29</v>
      </c>
      <c r="D169" s="93" t="s">
        <v>29</v>
      </c>
      <c r="E169" s="97" t="s">
        <v>29</v>
      </c>
      <c r="F169" s="92" t="s">
        <v>29</v>
      </c>
      <c r="G169" s="92" t="s">
        <v>29</v>
      </c>
      <c r="H169" s="92" t="s">
        <v>29</v>
      </c>
      <c r="I169" s="116" t="s">
        <v>29</v>
      </c>
      <c r="J169" s="89"/>
      <c r="K169" s="89"/>
      <c r="L169" s="89"/>
      <c r="M169" s="96" t="s">
        <v>29</v>
      </c>
      <c r="N169" s="108"/>
      <c r="O169" s="92" t="s">
        <v>29</v>
      </c>
      <c r="P169" s="93" t="s">
        <v>29</v>
      </c>
      <c r="Q169" s="97" t="s">
        <v>29</v>
      </c>
      <c r="R169" s="92" t="s">
        <v>29</v>
      </c>
      <c r="S169" s="92" t="s">
        <v>29</v>
      </c>
      <c r="T169" s="92" t="s">
        <v>29</v>
      </c>
      <c r="U169" s="116" t="s">
        <v>29</v>
      </c>
    </row>
    <row r="170" spans="1:21" ht="13.2" x14ac:dyDescent="0.25">
      <c r="A170" s="67" t="s">
        <v>29</v>
      </c>
      <c r="B170" s="108"/>
      <c r="C170" s="92" t="s">
        <v>29</v>
      </c>
      <c r="D170" s="98" t="s">
        <v>29</v>
      </c>
      <c r="E170" s="97" t="s">
        <v>29</v>
      </c>
      <c r="F170" s="92" t="s">
        <v>29</v>
      </c>
      <c r="G170" s="92" t="s">
        <v>29</v>
      </c>
      <c r="H170" s="92" t="s">
        <v>29</v>
      </c>
      <c r="I170" s="116" t="s">
        <v>29</v>
      </c>
      <c r="J170" s="89"/>
      <c r="K170" s="89"/>
      <c r="L170" s="89"/>
      <c r="M170" s="96" t="s">
        <v>29</v>
      </c>
      <c r="N170" s="108"/>
      <c r="O170" s="92" t="s">
        <v>29</v>
      </c>
      <c r="P170" s="98" t="s">
        <v>29</v>
      </c>
      <c r="Q170" s="97" t="s">
        <v>29</v>
      </c>
      <c r="R170" s="92" t="s">
        <v>29</v>
      </c>
      <c r="S170" s="92" t="s">
        <v>29</v>
      </c>
      <c r="T170" s="92" t="s">
        <v>29</v>
      </c>
      <c r="U170" s="116" t="s">
        <v>29</v>
      </c>
    </row>
    <row r="171" spans="1:21" ht="13.2" x14ac:dyDescent="0.25">
      <c r="A171" s="67" t="s">
        <v>29</v>
      </c>
      <c r="B171" s="108"/>
      <c r="C171" s="92" t="s">
        <v>29</v>
      </c>
      <c r="D171" s="98" t="s">
        <v>29</v>
      </c>
      <c r="E171" s="97" t="s">
        <v>29</v>
      </c>
      <c r="F171" s="92" t="s">
        <v>29</v>
      </c>
      <c r="G171" s="92" t="s">
        <v>29</v>
      </c>
      <c r="H171" s="92" t="s">
        <v>29</v>
      </c>
      <c r="I171" s="116" t="s">
        <v>29</v>
      </c>
      <c r="J171" s="89"/>
      <c r="K171" s="89"/>
      <c r="L171" s="89"/>
      <c r="M171" s="96" t="s">
        <v>29</v>
      </c>
      <c r="N171" s="108"/>
      <c r="O171" s="92" t="s">
        <v>29</v>
      </c>
      <c r="P171" s="98" t="s">
        <v>29</v>
      </c>
      <c r="Q171" s="97" t="s">
        <v>29</v>
      </c>
      <c r="R171" s="92" t="s">
        <v>29</v>
      </c>
      <c r="S171" s="92" t="s">
        <v>29</v>
      </c>
      <c r="T171" s="92" t="s">
        <v>29</v>
      </c>
      <c r="U171" s="116" t="s">
        <v>29</v>
      </c>
    </row>
    <row r="172" spans="1:21" ht="13.2" x14ac:dyDescent="0.25">
      <c r="A172" s="67" t="s">
        <v>29</v>
      </c>
      <c r="B172" s="108"/>
      <c r="C172" s="92" t="s">
        <v>29</v>
      </c>
      <c r="D172" s="98" t="s">
        <v>29</v>
      </c>
      <c r="E172" s="97" t="s">
        <v>29</v>
      </c>
      <c r="F172" s="92" t="s">
        <v>29</v>
      </c>
      <c r="G172" s="92" t="s">
        <v>29</v>
      </c>
      <c r="H172" s="92" t="s">
        <v>29</v>
      </c>
      <c r="I172" s="116" t="s">
        <v>29</v>
      </c>
      <c r="J172" s="89"/>
      <c r="K172" s="89"/>
      <c r="L172" s="89"/>
      <c r="M172" s="96" t="s">
        <v>29</v>
      </c>
      <c r="N172" s="108"/>
      <c r="O172" s="92" t="s">
        <v>29</v>
      </c>
      <c r="P172" s="98" t="s">
        <v>29</v>
      </c>
      <c r="Q172" s="97" t="s">
        <v>29</v>
      </c>
      <c r="R172" s="92" t="s">
        <v>29</v>
      </c>
      <c r="S172" s="92" t="s">
        <v>29</v>
      </c>
      <c r="T172" s="92" t="s">
        <v>29</v>
      </c>
      <c r="U172" s="116" t="s">
        <v>29</v>
      </c>
    </row>
    <row r="173" spans="1:21" ht="13.2" x14ac:dyDescent="0.25">
      <c r="A173" s="67" t="s">
        <v>29</v>
      </c>
      <c r="B173" s="108"/>
      <c r="C173" s="92" t="s">
        <v>29</v>
      </c>
      <c r="D173" s="98" t="s">
        <v>29</v>
      </c>
      <c r="E173" s="97" t="s">
        <v>29</v>
      </c>
      <c r="F173" s="92" t="s">
        <v>29</v>
      </c>
      <c r="G173" s="92" t="s">
        <v>29</v>
      </c>
      <c r="H173" s="92" t="s">
        <v>29</v>
      </c>
      <c r="I173" s="116" t="s">
        <v>29</v>
      </c>
      <c r="J173" s="89"/>
      <c r="K173" s="89"/>
      <c r="L173" s="89"/>
      <c r="M173" s="96" t="s">
        <v>29</v>
      </c>
      <c r="N173" s="108"/>
      <c r="O173" s="92" t="s">
        <v>29</v>
      </c>
      <c r="P173" s="98" t="s">
        <v>29</v>
      </c>
      <c r="Q173" s="97" t="s">
        <v>29</v>
      </c>
      <c r="R173" s="92" t="s">
        <v>29</v>
      </c>
      <c r="S173" s="92" t="s">
        <v>29</v>
      </c>
      <c r="T173" s="92" t="s">
        <v>29</v>
      </c>
      <c r="U173" s="116" t="s">
        <v>29</v>
      </c>
    </row>
    <row r="174" spans="1:21" ht="13.2" x14ac:dyDescent="0.25">
      <c r="A174" s="67" t="s">
        <v>29</v>
      </c>
      <c r="B174" s="108"/>
      <c r="C174" s="92" t="s">
        <v>29</v>
      </c>
      <c r="D174" s="98" t="s">
        <v>29</v>
      </c>
      <c r="E174" s="97" t="s">
        <v>29</v>
      </c>
      <c r="F174" s="92" t="s">
        <v>29</v>
      </c>
      <c r="G174" s="92" t="s">
        <v>29</v>
      </c>
      <c r="H174" s="92" t="s">
        <v>29</v>
      </c>
      <c r="I174" s="116" t="s">
        <v>29</v>
      </c>
      <c r="J174" s="89"/>
      <c r="K174" s="89"/>
      <c r="L174" s="89"/>
      <c r="M174" s="96" t="s">
        <v>29</v>
      </c>
      <c r="N174" s="108"/>
      <c r="O174" s="92" t="s">
        <v>29</v>
      </c>
      <c r="P174" s="98" t="s">
        <v>29</v>
      </c>
      <c r="Q174" s="97" t="s">
        <v>29</v>
      </c>
      <c r="R174" s="92" t="s">
        <v>29</v>
      </c>
      <c r="S174" s="92" t="s">
        <v>29</v>
      </c>
      <c r="T174" s="92" t="s">
        <v>29</v>
      </c>
      <c r="U174" s="116" t="s">
        <v>29</v>
      </c>
    </row>
    <row r="175" spans="1:21" ht="13.2" x14ac:dyDescent="0.25">
      <c r="A175" s="67" t="s">
        <v>29</v>
      </c>
      <c r="B175" s="108"/>
      <c r="C175" s="92" t="s">
        <v>29</v>
      </c>
      <c r="D175" s="98" t="s">
        <v>29</v>
      </c>
      <c r="E175" s="97" t="s">
        <v>29</v>
      </c>
      <c r="F175" s="92" t="s">
        <v>29</v>
      </c>
      <c r="G175" s="92" t="s">
        <v>29</v>
      </c>
      <c r="H175" s="92" t="s">
        <v>29</v>
      </c>
      <c r="I175" s="116" t="s">
        <v>29</v>
      </c>
      <c r="J175" s="89"/>
      <c r="K175" s="89"/>
      <c r="L175" s="89"/>
      <c r="M175" s="96" t="s">
        <v>29</v>
      </c>
      <c r="N175" s="108"/>
      <c r="O175" s="92" t="s">
        <v>29</v>
      </c>
      <c r="P175" s="98" t="s">
        <v>29</v>
      </c>
      <c r="Q175" s="97" t="s">
        <v>29</v>
      </c>
      <c r="R175" s="92" t="s">
        <v>29</v>
      </c>
      <c r="S175" s="92" t="s">
        <v>29</v>
      </c>
      <c r="T175" s="92" t="s">
        <v>29</v>
      </c>
      <c r="U175" s="116" t="s">
        <v>29</v>
      </c>
    </row>
    <row r="176" spans="1:21" ht="13.2" x14ac:dyDescent="0.25">
      <c r="A176" s="67" t="s">
        <v>29</v>
      </c>
      <c r="B176" s="108"/>
      <c r="C176" s="219" t="s">
        <v>971</v>
      </c>
      <c r="D176" s="220"/>
      <c r="E176" s="220"/>
      <c r="F176" s="222"/>
      <c r="G176" s="99">
        <v>5</v>
      </c>
      <c r="H176" s="99">
        <v>4</v>
      </c>
      <c r="I176" s="116" t="s">
        <v>29</v>
      </c>
      <c r="J176" s="89"/>
      <c r="K176" s="89"/>
      <c r="L176" s="89"/>
      <c r="M176" s="96" t="s">
        <v>29</v>
      </c>
      <c r="N176" s="108"/>
      <c r="O176" s="219" t="s">
        <v>972</v>
      </c>
      <c r="P176" s="220"/>
      <c r="Q176" s="220"/>
      <c r="R176" s="222"/>
      <c r="S176" s="99">
        <v>0</v>
      </c>
      <c r="T176" s="99">
        <v>5</v>
      </c>
      <c r="U176" s="116" t="s">
        <v>29</v>
      </c>
    </row>
    <row r="177" spans="1:21" ht="13.2" x14ac:dyDescent="0.25">
      <c r="A177" s="67" t="s">
        <v>29</v>
      </c>
      <c r="B177" s="89"/>
      <c r="C177" s="89"/>
      <c r="D177" s="89"/>
      <c r="E177" s="89"/>
      <c r="F177" s="89"/>
      <c r="G177" s="89"/>
      <c r="H177" s="89"/>
      <c r="I177" s="89" t="s">
        <v>29</v>
      </c>
      <c r="J177" s="89"/>
      <c r="K177" s="89"/>
      <c r="L177" s="89"/>
      <c r="M177" s="96" t="s">
        <v>29</v>
      </c>
      <c r="N177" s="89"/>
      <c r="O177" s="89"/>
      <c r="P177" s="89"/>
      <c r="Q177" s="89"/>
      <c r="R177" s="89"/>
      <c r="S177" s="89"/>
      <c r="T177" s="89"/>
      <c r="U177" s="89" t="s">
        <v>29</v>
      </c>
    </row>
    <row r="178" spans="1:21" ht="13.2" x14ac:dyDescent="0.25">
      <c r="A178" s="67" t="s">
        <v>29</v>
      </c>
      <c r="B178" s="101"/>
      <c r="C178" s="101"/>
      <c r="D178" s="101"/>
      <c r="E178" s="101"/>
      <c r="F178" s="101"/>
      <c r="G178" s="101"/>
      <c r="H178" s="101"/>
      <c r="I178" s="101" t="s">
        <v>29</v>
      </c>
      <c r="J178" s="89"/>
      <c r="K178" s="89"/>
      <c r="L178" s="89"/>
      <c r="M178" s="96" t="s">
        <v>29</v>
      </c>
      <c r="N178" s="101"/>
      <c r="O178" s="101"/>
      <c r="P178" s="101"/>
      <c r="Q178" s="101"/>
      <c r="R178" s="101"/>
      <c r="S178" s="101"/>
      <c r="T178" s="101"/>
      <c r="U178" s="101" t="s">
        <v>29</v>
      </c>
    </row>
    <row r="179" spans="1:21" ht="13.2" x14ac:dyDescent="0.25">
      <c r="A179" s="67" t="s">
        <v>927</v>
      </c>
      <c r="B179" s="111"/>
      <c r="C179" s="112" t="s">
        <v>936</v>
      </c>
      <c r="D179" s="113" t="s">
        <v>928</v>
      </c>
      <c r="E179" s="114" t="s">
        <v>2</v>
      </c>
      <c r="F179" s="114" t="s">
        <v>937</v>
      </c>
      <c r="G179" s="114" t="s">
        <v>917</v>
      </c>
      <c r="H179" s="114" t="s">
        <v>918</v>
      </c>
      <c r="I179" s="115" t="s">
        <v>29</v>
      </c>
      <c r="J179" s="89"/>
      <c r="K179" s="89"/>
      <c r="L179" s="89"/>
      <c r="M179" s="90" t="s">
        <v>929</v>
      </c>
      <c r="N179" s="115"/>
      <c r="O179" s="112" t="s">
        <v>936</v>
      </c>
      <c r="P179" s="113" t="s">
        <v>930</v>
      </c>
      <c r="Q179" s="114" t="s">
        <v>2</v>
      </c>
      <c r="R179" s="114" t="s">
        <v>937</v>
      </c>
      <c r="S179" s="114" t="s">
        <v>917</v>
      </c>
      <c r="T179" s="114" t="s">
        <v>918</v>
      </c>
      <c r="U179" s="115" t="s">
        <v>29</v>
      </c>
    </row>
    <row r="180" spans="1:21" ht="13.2" x14ac:dyDescent="0.25">
      <c r="A180" s="67" t="s">
        <v>927</v>
      </c>
      <c r="B180" s="84"/>
      <c r="C180" s="92">
        <v>1</v>
      </c>
      <c r="D180" s="93" t="s">
        <v>2034</v>
      </c>
      <c r="E180" s="94" t="s">
        <v>392</v>
      </c>
      <c r="F180" s="92" t="s">
        <v>2011</v>
      </c>
      <c r="G180" s="92">
        <v>5</v>
      </c>
      <c r="H180" s="92" t="s">
        <v>29</v>
      </c>
      <c r="I180" s="115" t="s">
        <v>29</v>
      </c>
      <c r="J180" s="89"/>
      <c r="K180" s="89"/>
      <c r="L180" s="89"/>
      <c r="M180" s="96" t="s">
        <v>929</v>
      </c>
      <c r="N180" s="84"/>
      <c r="O180" s="92">
        <v>1</v>
      </c>
      <c r="P180" s="93" t="s">
        <v>2035</v>
      </c>
      <c r="Q180" s="94" t="s">
        <v>781</v>
      </c>
      <c r="R180" s="92" t="s">
        <v>2012</v>
      </c>
      <c r="S180" s="92" t="s">
        <v>29</v>
      </c>
      <c r="T180" s="92">
        <v>5</v>
      </c>
      <c r="U180" s="115" t="s">
        <v>29</v>
      </c>
    </row>
    <row r="181" spans="1:21" ht="13.2" x14ac:dyDescent="0.25">
      <c r="A181" s="67" t="s">
        <v>927</v>
      </c>
      <c r="B181" s="84"/>
      <c r="C181" s="92">
        <v>2</v>
      </c>
      <c r="D181" s="93" t="s">
        <v>2036</v>
      </c>
      <c r="E181" s="97" t="s">
        <v>391</v>
      </c>
      <c r="F181" s="92" t="s">
        <v>2011</v>
      </c>
      <c r="G181" s="92">
        <v>3</v>
      </c>
      <c r="H181" s="92" t="s">
        <v>29</v>
      </c>
      <c r="I181" s="115" t="s">
        <v>29</v>
      </c>
      <c r="J181" s="89"/>
      <c r="K181" s="89"/>
      <c r="L181" s="89"/>
      <c r="M181" s="96" t="s">
        <v>929</v>
      </c>
      <c r="N181" s="84"/>
      <c r="O181" s="92">
        <v>2</v>
      </c>
      <c r="P181" s="93" t="s">
        <v>2037</v>
      </c>
      <c r="Q181" s="97" t="s">
        <v>780</v>
      </c>
      <c r="R181" s="92" t="s">
        <v>2012</v>
      </c>
      <c r="S181" s="92" t="s">
        <v>29</v>
      </c>
      <c r="T181" s="92">
        <v>3</v>
      </c>
      <c r="U181" s="115" t="s">
        <v>29</v>
      </c>
    </row>
    <row r="182" spans="1:21" ht="13.2" x14ac:dyDescent="0.25">
      <c r="A182" s="67" t="s">
        <v>29</v>
      </c>
      <c r="B182" s="84"/>
      <c r="C182" s="92" t="s">
        <v>29</v>
      </c>
      <c r="D182" s="93" t="s">
        <v>29</v>
      </c>
      <c r="E182" s="97" t="s">
        <v>29</v>
      </c>
      <c r="F182" s="92" t="s">
        <v>29</v>
      </c>
      <c r="G182" s="92" t="s">
        <v>29</v>
      </c>
      <c r="H182" s="92" t="s">
        <v>29</v>
      </c>
      <c r="I182" s="115" t="s">
        <v>29</v>
      </c>
      <c r="J182" s="89"/>
      <c r="K182" s="89"/>
      <c r="L182" s="89"/>
      <c r="M182" s="96" t="s">
        <v>929</v>
      </c>
      <c r="N182" s="84"/>
      <c r="O182" s="92">
        <v>3</v>
      </c>
      <c r="P182" s="93" t="s">
        <v>2038</v>
      </c>
      <c r="Q182" s="97" t="s">
        <v>782</v>
      </c>
      <c r="R182" s="92" t="s">
        <v>2012</v>
      </c>
      <c r="S182" s="92" t="s">
        <v>29</v>
      </c>
      <c r="T182" s="92">
        <v>1</v>
      </c>
      <c r="U182" s="115" t="s">
        <v>29</v>
      </c>
    </row>
    <row r="183" spans="1:21" ht="13.2" x14ac:dyDescent="0.25">
      <c r="A183" s="67" t="s">
        <v>29</v>
      </c>
      <c r="B183" s="84"/>
      <c r="C183" s="92" t="s">
        <v>29</v>
      </c>
      <c r="D183" s="93" t="s">
        <v>29</v>
      </c>
      <c r="E183" s="97" t="s">
        <v>29</v>
      </c>
      <c r="F183" s="92" t="s">
        <v>29</v>
      </c>
      <c r="G183" s="92" t="s">
        <v>29</v>
      </c>
      <c r="H183" s="92" t="s">
        <v>29</v>
      </c>
      <c r="I183" s="115" t="s">
        <v>29</v>
      </c>
      <c r="J183" s="89"/>
      <c r="K183" s="89"/>
      <c r="L183" s="89"/>
      <c r="M183" s="96" t="s">
        <v>29</v>
      </c>
      <c r="N183" s="84"/>
      <c r="O183" s="92" t="s">
        <v>29</v>
      </c>
      <c r="P183" s="93" t="s">
        <v>29</v>
      </c>
      <c r="Q183" s="97" t="s">
        <v>29</v>
      </c>
      <c r="R183" s="92" t="s">
        <v>29</v>
      </c>
      <c r="S183" s="92" t="s">
        <v>29</v>
      </c>
      <c r="T183" s="92" t="s">
        <v>29</v>
      </c>
      <c r="U183" s="115" t="s">
        <v>29</v>
      </c>
    </row>
    <row r="184" spans="1:21" ht="13.2" x14ac:dyDescent="0.25">
      <c r="A184" s="67" t="s">
        <v>29</v>
      </c>
      <c r="B184" s="84"/>
      <c r="C184" s="92" t="s">
        <v>29</v>
      </c>
      <c r="D184" s="93" t="s">
        <v>29</v>
      </c>
      <c r="E184" s="97" t="s">
        <v>29</v>
      </c>
      <c r="F184" s="92" t="s">
        <v>29</v>
      </c>
      <c r="G184" s="92" t="s">
        <v>29</v>
      </c>
      <c r="H184" s="92" t="s">
        <v>29</v>
      </c>
      <c r="I184" s="115" t="s">
        <v>29</v>
      </c>
      <c r="J184" s="89"/>
      <c r="K184" s="89"/>
      <c r="L184" s="89"/>
      <c r="M184" s="96" t="s">
        <v>29</v>
      </c>
      <c r="N184" s="84"/>
      <c r="O184" s="92" t="s">
        <v>29</v>
      </c>
      <c r="P184" s="93" t="s">
        <v>29</v>
      </c>
      <c r="Q184" s="97" t="s">
        <v>29</v>
      </c>
      <c r="R184" s="92" t="s">
        <v>29</v>
      </c>
      <c r="S184" s="92" t="s">
        <v>29</v>
      </c>
      <c r="T184" s="92" t="s">
        <v>29</v>
      </c>
      <c r="U184" s="115" t="s">
        <v>29</v>
      </c>
    </row>
    <row r="185" spans="1:21" ht="13.2" x14ac:dyDescent="0.25">
      <c r="A185" s="67" t="s">
        <v>29</v>
      </c>
      <c r="B185" s="84"/>
      <c r="C185" s="92" t="s">
        <v>29</v>
      </c>
      <c r="D185" s="93" t="s">
        <v>29</v>
      </c>
      <c r="E185" s="97" t="s">
        <v>29</v>
      </c>
      <c r="F185" s="92" t="s">
        <v>29</v>
      </c>
      <c r="G185" s="92" t="s">
        <v>29</v>
      </c>
      <c r="H185" s="92" t="s">
        <v>29</v>
      </c>
      <c r="I185" s="115" t="s">
        <v>29</v>
      </c>
      <c r="J185" s="89"/>
      <c r="K185" s="89"/>
      <c r="L185" s="89"/>
      <c r="M185" s="96" t="s">
        <v>29</v>
      </c>
      <c r="N185" s="84"/>
      <c r="O185" s="92" t="s">
        <v>29</v>
      </c>
      <c r="P185" s="93" t="s">
        <v>29</v>
      </c>
      <c r="Q185" s="97" t="s">
        <v>29</v>
      </c>
      <c r="R185" s="92" t="s">
        <v>29</v>
      </c>
      <c r="S185" s="92" t="s">
        <v>29</v>
      </c>
      <c r="T185" s="92" t="s">
        <v>29</v>
      </c>
      <c r="U185" s="115" t="s">
        <v>29</v>
      </c>
    </row>
    <row r="186" spans="1:21" ht="13.2" x14ac:dyDescent="0.25">
      <c r="A186" s="67" t="s">
        <v>29</v>
      </c>
      <c r="B186" s="84"/>
      <c r="C186" s="92" t="s">
        <v>29</v>
      </c>
      <c r="D186" s="93" t="s">
        <v>29</v>
      </c>
      <c r="E186" s="97" t="s">
        <v>29</v>
      </c>
      <c r="F186" s="92" t="s">
        <v>29</v>
      </c>
      <c r="G186" s="92" t="s">
        <v>29</v>
      </c>
      <c r="H186" s="92" t="s">
        <v>29</v>
      </c>
      <c r="I186" s="115" t="s">
        <v>29</v>
      </c>
      <c r="J186" s="89"/>
      <c r="K186" s="89"/>
      <c r="L186" s="89"/>
      <c r="M186" s="96" t="s">
        <v>29</v>
      </c>
      <c r="N186" s="84"/>
      <c r="O186" s="92" t="s">
        <v>29</v>
      </c>
      <c r="P186" s="93" t="s">
        <v>29</v>
      </c>
      <c r="Q186" s="97" t="s">
        <v>29</v>
      </c>
      <c r="R186" s="92" t="s">
        <v>29</v>
      </c>
      <c r="S186" s="92" t="s">
        <v>29</v>
      </c>
      <c r="T186" s="92" t="s">
        <v>29</v>
      </c>
      <c r="U186" s="115" t="s">
        <v>29</v>
      </c>
    </row>
    <row r="187" spans="1:21" ht="13.2" x14ac:dyDescent="0.25">
      <c r="A187" s="67" t="s">
        <v>29</v>
      </c>
      <c r="B187" s="84"/>
      <c r="C187" s="92" t="s">
        <v>29</v>
      </c>
      <c r="D187" s="98" t="s">
        <v>29</v>
      </c>
      <c r="E187" s="97" t="s">
        <v>29</v>
      </c>
      <c r="F187" s="92" t="s">
        <v>29</v>
      </c>
      <c r="G187" s="92" t="s">
        <v>29</v>
      </c>
      <c r="H187" s="92" t="s">
        <v>29</v>
      </c>
      <c r="I187" s="115" t="s">
        <v>29</v>
      </c>
      <c r="J187" s="89"/>
      <c r="K187" s="89"/>
      <c r="L187" s="89"/>
      <c r="M187" s="96" t="s">
        <v>29</v>
      </c>
      <c r="N187" s="84"/>
      <c r="O187" s="92" t="s">
        <v>29</v>
      </c>
      <c r="P187" s="98" t="s">
        <v>29</v>
      </c>
      <c r="Q187" s="97" t="s">
        <v>29</v>
      </c>
      <c r="R187" s="92" t="s">
        <v>29</v>
      </c>
      <c r="S187" s="92" t="s">
        <v>29</v>
      </c>
      <c r="T187" s="92" t="s">
        <v>29</v>
      </c>
      <c r="U187" s="115" t="s">
        <v>29</v>
      </c>
    </row>
    <row r="188" spans="1:21" ht="13.2" x14ac:dyDescent="0.25">
      <c r="A188" s="67" t="s">
        <v>29</v>
      </c>
      <c r="B188" s="84"/>
      <c r="C188" s="92" t="s">
        <v>29</v>
      </c>
      <c r="D188" s="98" t="s">
        <v>29</v>
      </c>
      <c r="E188" s="97" t="s">
        <v>29</v>
      </c>
      <c r="F188" s="92" t="s">
        <v>29</v>
      </c>
      <c r="G188" s="92" t="s">
        <v>29</v>
      </c>
      <c r="H188" s="92" t="s">
        <v>29</v>
      </c>
      <c r="I188" s="115" t="s">
        <v>29</v>
      </c>
      <c r="J188" s="89"/>
      <c r="K188" s="89"/>
      <c r="L188" s="89"/>
      <c r="M188" s="96" t="s">
        <v>29</v>
      </c>
      <c r="N188" s="84"/>
      <c r="O188" s="92" t="s">
        <v>29</v>
      </c>
      <c r="P188" s="98" t="s">
        <v>29</v>
      </c>
      <c r="Q188" s="97" t="s">
        <v>29</v>
      </c>
      <c r="R188" s="92" t="s">
        <v>29</v>
      </c>
      <c r="S188" s="92" t="s">
        <v>29</v>
      </c>
      <c r="T188" s="92" t="s">
        <v>29</v>
      </c>
      <c r="U188" s="115" t="s">
        <v>29</v>
      </c>
    </row>
    <row r="189" spans="1:21" ht="13.2" x14ac:dyDescent="0.25">
      <c r="A189" s="67"/>
      <c r="B189" s="84"/>
      <c r="C189" s="92" t="s">
        <v>29</v>
      </c>
      <c r="D189" s="98" t="s">
        <v>29</v>
      </c>
      <c r="E189" s="97" t="s">
        <v>29</v>
      </c>
      <c r="F189" s="92" t="s">
        <v>29</v>
      </c>
      <c r="G189" s="92" t="s">
        <v>29</v>
      </c>
      <c r="H189" s="92" t="s">
        <v>29</v>
      </c>
      <c r="I189" s="115" t="s">
        <v>29</v>
      </c>
      <c r="J189" s="89"/>
      <c r="K189" s="89"/>
      <c r="L189" s="89"/>
      <c r="M189" s="96"/>
      <c r="N189" s="84"/>
      <c r="O189" s="92" t="s">
        <v>29</v>
      </c>
      <c r="P189" s="98" t="s">
        <v>29</v>
      </c>
      <c r="Q189" s="97" t="s">
        <v>29</v>
      </c>
      <c r="R189" s="92" t="s">
        <v>29</v>
      </c>
      <c r="S189" s="92" t="s">
        <v>29</v>
      </c>
      <c r="T189" s="92" t="s">
        <v>29</v>
      </c>
      <c r="U189" s="115" t="s">
        <v>29</v>
      </c>
    </row>
    <row r="190" spans="1:21" ht="13.2" x14ac:dyDescent="0.25">
      <c r="A190" s="67"/>
      <c r="B190" s="84"/>
      <c r="C190" s="92" t="s">
        <v>29</v>
      </c>
      <c r="D190" s="98" t="s">
        <v>29</v>
      </c>
      <c r="E190" s="97" t="s">
        <v>29</v>
      </c>
      <c r="F190" s="92" t="s">
        <v>29</v>
      </c>
      <c r="G190" s="92" t="s">
        <v>29</v>
      </c>
      <c r="H190" s="92" t="s">
        <v>29</v>
      </c>
      <c r="I190" s="115" t="s">
        <v>29</v>
      </c>
      <c r="J190" s="89"/>
      <c r="K190" s="89"/>
      <c r="L190" s="89"/>
      <c r="M190" s="96"/>
      <c r="N190" s="84"/>
      <c r="O190" s="92" t="s">
        <v>29</v>
      </c>
      <c r="P190" s="98" t="s">
        <v>29</v>
      </c>
      <c r="Q190" s="97" t="s">
        <v>29</v>
      </c>
      <c r="R190" s="92" t="s">
        <v>29</v>
      </c>
      <c r="S190" s="92" t="s">
        <v>29</v>
      </c>
      <c r="T190" s="92" t="s">
        <v>29</v>
      </c>
      <c r="U190" s="115" t="s">
        <v>29</v>
      </c>
    </row>
    <row r="191" spans="1:21" ht="13.2" x14ac:dyDescent="0.25">
      <c r="A191" s="67"/>
      <c r="B191" s="84"/>
      <c r="C191" s="92" t="s">
        <v>29</v>
      </c>
      <c r="D191" s="98" t="s">
        <v>29</v>
      </c>
      <c r="E191" s="97" t="s">
        <v>29</v>
      </c>
      <c r="F191" s="92" t="s">
        <v>29</v>
      </c>
      <c r="G191" s="92" t="s">
        <v>29</v>
      </c>
      <c r="H191" s="92" t="s">
        <v>29</v>
      </c>
      <c r="I191" s="115" t="s">
        <v>29</v>
      </c>
      <c r="J191" s="89"/>
      <c r="K191" s="89"/>
      <c r="L191" s="89"/>
      <c r="M191" s="96"/>
      <c r="N191" s="84"/>
      <c r="O191" s="92" t="s">
        <v>29</v>
      </c>
      <c r="P191" s="98" t="s">
        <v>29</v>
      </c>
      <c r="Q191" s="97" t="s">
        <v>29</v>
      </c>
      <c r="R191" s="92" t="s">
        <v>29</v>
      </c>
      <c r="S191" s="92" t="s">
        <v>29</v>
      </c>
      <c r="T191" s="92" t="s">
        <v>29</v>
      </c>
      <c r="U191" s="115" t="s">
        <v>29</v>
      </c>
    </row>
    <row r="192" spans="1:21" ht="13.2" x14ac:dyDescent="0.25">
      <c r="A192" s="67"/>
      <c r="B192" s="84"/>
      <c r="C192" s="92" t="s">
        <v>29</v>
      </c>
      <c r="D192" s="98" t="s">
        <v>29</v>
      </c>
      <c r="E192" s="97" t="s">
        <v>29</v>
      </c>
      <c r="F192" s="92" t="s">
        <v>29</v>
      </c>
      <c r="G192" s="92" t="s">
        <v>29</v>
      </c>
      <c r="H192" s="92" t="s">
        <v>29</v>
      </c>
      <c r="I192" s="115" t="s">
        <v>29</v>
      </c>
      <c r="J192" s="89"/>
      <c r="K192" s="89"/>
      <c r="L192" s="89"/>
      <c r="M192" s="96"/>
      <c r="N192" s="84"/>
      <c r="O192" s="92" t="s">
        <v>29</v>
      </c>
      <c r="P192" s="98" t="s">
        <v>29</v>
      </c>
      <c r="Q192" s="97" t="s">
        <v>29</v>
      </c>
      <c r="R192" s="92" t="s">
        <v>29</v>
      </c>
      <c r="S192" s="92" t="s">
        <v>29</v>
      </c>
      <c r="T192" s="92" t="s">
        <v>29</v>
      </c>
      <c r="U192" s="115" t="s">
        <v>29</v>
      </c>
    </row>
    <row r="193" spans="1:21" ht="13.2" x14ac:dyDescent="0.25">
      <c r="A193" s="67"/>
      <c r="B193" s="84"/>
      <c r="C193" s="92" t="s">
        <v>29</v>
      </c>
      <c r="D193" s="98" t="s">
        <v>29</v>
      </c>
      <c r="E193" s="97" t="s">
        <v>29</v>
      </c>
      <c r="F193" s="92" t="s">
        <v>29</v>
      </c>
      <c r="G193" s="92" t="s">
        <v>29</v>
      </c>
      <c r="H193" s="92" t="s">
        <v>29</v>
      </c>
      <c r="I193" s="115" t="s">
        <v>29</v>
      </c>
      <c r="J193" s="89"/>
      <c r="K193" s="89"/>
      <c r="L193" s="89"/>
      <c r="M193" s="96"/>
      <c r="N193" s="84"/>
      <c r="O193" s="92" t="s">
        <v>29</v>
      </c>
      <c r="P193" s="98" t="s">
        <v>29</v>
      </c>
      <c r="Q193" s="97" t="s">
        <v>29</v>
      </c>
      <c r="R193" s="92" t="s">
        <v>29</v>
      </c>
      <c r="S193" s="92" t="s">
        <v>29</v>
      </c>
      <c r="T193" s="92" t="s">
        <v>29</v>
      </c>
      <c r="U193" s="115" t="s">
        <v>29</v>
      </c>
    </row>
    <row r="194" spans="1:21" ht="13.2" x14ac:dyDescent="0.25">
      <c r="A194" s="67" t="s">
        <v>29</v>
      </c>
      <c r="B194" s="84"/>
      <c r="C194" s="92" t="s">
        <v>29</v>
      </c>
      <c r="D194" s="98" t="s">
        <v>29</v>
      </c>
      <c r="E194" s="97" t="s">
        <v>29</v>
      </c>
      <c r="F194" s="92" t="s">
        <v>29</v>
      </c>
      <c r="G194" s="92" t="s">
        <v>29</v>
      </c>
      <c r="H194" s="92" t="s">
        <v>29</v>
      </c>
      <c r="I194" s="115" t="s">
        <v>29</v>
      </c>
      <c r="J194" s="89"/>
      <c r="K194" s="89"/>
      <c r="L194" s="89"/>
      <c r="M194" s="96" t="s">
        <v>29</v>
      </c>
      <c r="N194" s="84"/>
      <c r="O194" s="92" t="s">
        <v>29</v>
      </c>
      <c r="P194" s="98" t="s">
        <v>29</v>
      </c>
      <c r="Q194" s="97" t="s">
        <v>29</v>
      </c>
      <c r="R194" s="92" t="s">
        <v>29</v>
      </c>
      <c r="S194" s="92" t="s">
        <v>29</v>
      </c>
      <c r="T194" s="92" t="s">
        <v>29</v>
      </c>
      <c r="U194" s="115" t="s">
        <v>29</v>
      </c>
    </row>
    <row r="195" spans="1:21" ht="13.2" x14ac:dyDescent="0.25">
      <c r="A195" s="67" t="s">
        <v>29</v>
      </c>
      <c r="B195" s="84"/>
      <c r="C195" s="219" t="s">
        <v>984</v>
      </c>
      <c r="D195" s="220"/>
      <c r="E195" s="220"/>
      <c r="F195" s="220"/>
      <c r="G195" s="99">
        <v>8</v>
      </c>
      <c r="H195" s="99">
        <v>0</v>
      </c>
      <c r="I195" s="115" t="s">
        <v>29</v>
      </c>
      <c r="J195" s="89"/>
      <c r="K195" s="89"/>
      <c r="L195" s="89"/>
      <c r="M195" s="96" t="s">
        <v>29</v>
      </c>
      <c r="N195" s="84"/>
      <c r="O195" s="219" t="s">
        <v>985</v>
      </c>
      <c r="P195" s="220"/>
      <c r="Q195" s="220"/>
      <c r="R195" s="220"/>
      <c r="S195" s="99">
        <v>0</v>
      </c>
      <c r="T195" s="99">
        <v>9</v>
      </c>
      <c r="U195" s="115" t="s">
        <v>29</v>
      </c>
    </row>
    <row r="196" spans="1:21" ht="13.2" x14ac:dyDescent="0.25">
      <c r="A196" s="67" t="s">
        <v>29</v>
      </c>
      <c r="B196" s="89"/>
      <c r="C196" s="89"/>
      <c r="D196" s="89"/>
      <c r="E196" s="89"/>
      <c r="F196" s="89"/>
      <c r="G196" s="89"/>
      <c r="H196" s="89"/>
      <c r="I196" s="89" t="s">
        <v>29</v>
      </c>
      <c r="J196" s="89"/>
      <c r="K196" s="89"/>
      <c r="L196" s="89"/>
      <c r="M196" s="96" t="s">
        <v>29</v>
      </c>
      <c r="N196" s="89"/>
      <c r="O196" s="89"/>
      <c r="P196" s="89"/>
      <c r="Q196" s="89"/>
      <c r="R196" s="89"/>
      <c r="S196" s="89"/>
      <c r="T196" s="89"/>
      <c r="U196" s="89" t="s">
        <v>29</v>
      </c>
    </row>
    <row r="197" spans="1:21" ht="13.2" x14ac:dyDescent="0.25">
      <c r="A197" s="67" t="s">
        <v>29</v>
      </c>
      <c r="B197" s="101"/>
      <c r="C197" s="101"/>
      <c r="D197" s="101"/>
      <c r="E197" s="101"/>
      <c r="F197" s="101"/>
      <c r="G197" s="101"/>
      <c r="H197" s="101"/>
      <c r="I197" s="101" t="s">
        <v>29</v>
      </c>
      <c r="J197" s="89"/>
      <c r="K197" s="89"/>
      <c r="L197" s="89"/>
      <c r="M197" s="96" t="s">
        <v>29</v>
      </c>
      <c r="N197" s="101"/>
      <c r="O197" s="101"/>
      <c r="P197" s="101"/>
      <c r="Q197" s="101"/>
      <c r="R197" s="101"/>
      <c r="S197" s="101"/>
      <c r="T197" s="101"/>
      <c r="U197" s="101" t="s">
        <v>29</v>
      </c>
    </row>
    <row r="198" spans="1:21" ht="13.2" x14ac:dyDescent="0.25">
      <c r="A198" s="67" t="s">
        <v>931</v>
      </c>
      <c r="B198" s="103"/>
      <c r="C198" s="104" t="s">
        <v>936</v>
      </c>
      <c r="D198" s="105" t="s">
        <v>932</v>
      </c>
      <c r="E198" s="106" t="s">
        <v>2</v>
      </c>
      <c r="F198" s="106" t="s">
        <v>937</v>
      </c>
      <c r="G198" s="106" t="s">
        <v>917</v>
      </c>
      <c r="H198" s="106" t="s">
        <v>918</v>
      </c>
      <c r="I198" s="116" t="s">
        <v>29</v>
      </c>
      <c r="J198" s="89"/>
      <c r="K198" s="89"/>
      <c r="L198" s="89"/>
      <c r="M198" s="90" t="s">
        <v>933</v>
      </c>
      <c r="N198" s="116"/>
      <c r="O198" s="104" t="s">
        <v>936</v>
      </c>
      <c r="P198" s="105" t="s">
        <v>934</v>
      </c>
      <c r="Q198" s="106" t="s">
        <v>2</v>
      </c>
      <c r="R198" s="106" t="s">
        <v>937</v>
      </c>
      <c r="S198" s="106" t="s">
        <v>917</v>
      </c>
      <c r="T198" s="106" t="s">
        <v>918</v>
      </c>
      <c r="U198" s="116" t="s">
        <v>29</v>
      </c>
    </row>
    <row r="199" spans="1:21" ht="13.2" x14ac:dyDescent="0.25">
      <c r="A199" s="67" t="s">
        <v>29</v>
      </c>
      <c r="B199" s="108"/>
      <c r="C199" s="92" t="s">
        <v>29</v>
      </c>
      <c r="D199" s="93" t="s">
        <v>29</v>
      </c>
      <c r="E199" s="94" t="s">
        <v>29</v>
      </c>
      <c r="F199" s="92" t="s">
        <v>29</v>
      </c>
      <c r="G199" s="92" t="s">
        <v>29</v>
      </c>
      <c r="H199" s="92" t="s">
        <v>29</v>
      </c>
      <c r="I199" s="116" t="s">
        <v>29</v>
      </c>
      <c r="J199" s="89"/>
      <c r="K199" s="89"/>
      <c r="L199" s="89"/>
      <c r="M199" s="96" t="s">
        <v>933</v>
      </c>
      <c r="N199" s="108"/>
      <c r="O199" s="92">
        <v>1</v>
      </c>
      <c r="P199" s="93" t="s">
        <v>2039</v>
      </c>
      <c r="Q199" s="94" t="s">
        <v>396</v>
      </c>
      <c r="R199" s="92" t="s">
        <v>2011</v>
      </c>
      <c r="S199" s="92">
        <v>5</v>
      </c>
      <c r="T199" s="92" t="s">
        <v>29</v>
      </c>
      <c r="U199" s="116" t="s">
        <v>29</v>
      </c>
    </row>
    <row r="200" spans="1:21" ht="13.2" x14ac:dyDescent="0.25">
      <c r="A200" s="67" t="s">
        <v>29</v>
      </c>
      <c r="B200" s="108"/>
      <c r="C200" s="92" t="s">
        <v>29</v>
      </c>
      <c r="D200" s="93" t="s">
        <v>29</v>
      </c>
      <c r="E200" s="97" t="s">
        <v>29</v>
      </c>
      <c r="F200" s="92" t="s">
        <v>29</v>
      </c>
      <c r="G200" s="92" t="s">
        <v>29</v>
      </c>
      <c r="H200" s="92" t="s">
        <v>29</v>
      </c>
      <c r="I200" s="116" t="s">
        <v>29</v>
      </c>
      <c r="J200" s="89"/>
      <c r="K200" s="89"/>
      <c r="L200" s="89"/>
      <c r="M200" s="96" t="s">
        <v>933</v>
      </c>
      <c r="N200" s="108"/>
      <c r="O200" s="92">
        <v>2</v>
      </c>
      <c r="P200" s="93" t="s">
        <v>2040</v>
      </c>
      <c r="Q200" s="97" t="s">
        <v>397</v>
      </c>
      <c r="R200" s="92" t="s">
        <v>2011</v>
      </c>
      <c r="S200" s="92">
        <v>3</v>
      </c>
      <c r="T200" s="92" t="s">
        <v>29</v>
      </c>
      <c r="U200" s="116" t="s">
        <v>29</v>
      </c>
    </row>
    <row r="201" spans="1:21" ht="13.2" x14ac:dyDescent="0.25">
      <c r="A201" s="67" t="s">
        <v>29</v>
      </c>
      <c r="B201" s="108"/>
      <c r="C201" s="92" t="s">
        <v>29</v>
      </c>
      <c r="D201" s="93" t="s">
        <v>29</v>
      </c>
      <c r="E201" s="97" t="s">
        <v>29</v>
      </c>
      <c r="F201" s="92" t="s">
        <v>29</v>
      </c>
      <c r="G201" s="92" t="s">
        <v>29</v>
      </c>
      <c r="H201" s="92" t="s">
        <v>29</v>
      </c>
      <c r="I201" s="116" t="s">
        <v>29</v>
      </c>
      <c r="J201" s="89"/>
      <c r="K201" s="89"/>
      <c r="L201" s="89"/>
      <c r="M201" s="96" t="s">
        <v>933</v>
      </c>
      <c r="N201" s="108"/>
      <c r="O201" s="92">
        <v>3</v>
      </c>
      <c r="P201" s="93" t="s">
        <v>2041</v>
      </c>
      <c r="Q201" s="97" t="s">
        <v>398</v>
      </c>
      <c r="R201" s="92" t="s">
        <v>2011</v>
      </c>
      <c r="S201" s="92">
        <v>1</v>
      </c>
      <c r="T201" s="92" t="s">
        <v>29</v>
      </c>
      <c r="U201" s="116" t="s">
        <v>29</v>
      </c>
    </row>
    <row r="202" spans="1:21" ht="13.2" x14ac:dyDescent="0.25">
      <c r="A202" s="67" t="s">
        <v>29</v>
      </c>
      <c r="B202" s="108"/>
      <c r="C202" s="92" t="s">
        <v>29</v>
      </c>
      <c r="D202" s="93" t="s">
        <v>29</v>
      </c>
      <c r="E202" s="97" t="s">
        <v>29</v>
      </c>
      <c r="F202" s="92" t="s">
        <v>29</v>
      </c>
      <c r="G202" s="92" t="s">
        <v>29</v>
      </c>
      <c r="H202" s="92" t="s">
        <v>29</v>
      </c>
      <c r="I202" s="116" t="s">
        <v>29</v>
      </c>
      <c r="J202" s="89"/>
      <c r="K202" s="89"/>
      <c r="L202" s="89"/>
      <c r="M202" s="96" t="s">
        <v>933</v>
      </c>
      <c r="N202" s="108"/>
      <c r="O202" s="92">
        <v>4</v>
      </c>
      <c r="P202" s="93" t="s">
        <v>2042</v>
      </c>
      <c r="Q202" s="97" t="s">
        <v>421</v>
      </c>
      <c r="R202" s="92" t="s">
        <v>2012</v>
      </c>
      <c r="S202" s="92" t="s">
        <v>29</v>
      </c>
      <c r="T202" s="92" t="s">
        <v>29</v>
      </c>
      <c r="U202" s="116" t="s">
        <v>29</v>
      </c>
    </row>
    <row r="203" spans="1:21" ht="13.2" x14ac:dyDescent="0.25">
      <c r="A203" s="67" t="s">
        <v>29</v>
      </c>
      <c r="B203" s="108"/>
      <c r="C203" s="92" t="s">
        <v>29</v>
      </c>
      <c r="D203" s="93" t="s">
        <v>29</v>
      </c>
      <c r="E203" s="97" t="s">
        <v>29</v>
      </c>
      <c r="F203" s="92" t="s">
        <v>29</v>
      </c>
      <c r="G203" s="92" t="s">
        <v>29</v>
      </c>
      <c r="H203" s="92" t="s">
        <v>29</v>
      </c>
      <c r="I203" s="116" t="s">
        <v>29</v>
      </c>
      <c r="J203" s="89"/>
      <c r="K203" s="89"/>
      <c r="L203" s="89"/>
      <c r="M203" s="96" t="s">
        <v>29</v>
      </c>
      <c r="N203" s="108"/>
      <c r="O203" s="92" t="s">
        <v>29</v>
      </c>
      <c r="P203" s="93" t="s">
        <v>29</v>
      </c>
      <c r="Q203" s="97" t="s">
        <v>29</v>
      </c>
      <c r="R203" s="92" t="s">
        <v>29</v>
      </c>
      <c r="S203" s="92" t="s">
        <v>29</v>
      </c>
      <c r="T203" s="92" t="s">
        <v>29</v>
      </c>
      <c r="U203" s="116" t="s">
        <v>29</v>
      </c>
    </row>
    <row r="204" spans="1:21" ht="13.2" x14ac:dyDescent="0.25">
      <c r="A204" s="67" t="s">
        <v>29</v>
      </c>
      <c r="B204" s="108"/>
      <c r="C204" s="92" t="s">
        <v>29</v>
      </c>
      <c r="D204" s="93" t="s">
        <v>29</v>
      </c>
      <c r="E204" s="97" t="s">
        <v>29</v>
      </c>
      <c r="F204" s="92" t="s">
        <v>29</v>
      </c>
      <c r="G204" s="92" t="s">
        <v>29</v>
      </c>
      <c r="H204" s="92" t="s">
        <v>29</v>
      </c>
      <c r="I204" s="116" t="s">
        <v>29</v>
      </c>
      <c r="J204" s="89"/>
      <c r="K204" s="89"/>
      <c r="L204" s="89"/>
      <c r="M204" s="96" t="s">
        <v>29</v>
      </c>
      <c r="N204" s="108"/>
      <c r="O204" s="92" t="s">
        <v>29</v>
      </c>
      <c r="P204" s="93" t="s">
        <v>29</v>
      </c>
      <c r="Q204" s="97" t="s">
        <v>29</v>
      </c>
      <c r="R204" s="92" t="s">
        <v>29</v>
      </c>
      <c r="S204" s="92" t="s">
        <v>29</v>
      </c>
      <c r="T204" s="92" t="s">
        <v>29</v>
      </c>
      <c r="U204" s="116" t="s">
        <v>29</v>
      </c>
    </row>
    <row r="205" spans="1:21" ht="13.2" x14ac:dyDescent="0.25">
      <c r="A205" s="67" t="s">
        <v>29</v>
      </c>
      <c r="B205" s="108"/>
      <c r="C205" s="92" t="s">
        <v>29</v>
      </c>
      <c r="D205" s="93" t="s">
        <v>29</v>
      </c>
      <c r="E205" s="97" t="s">
        <v>29</v>
      </c>
      <c r="F205" s="92" t="s">
        <v>29</v>
      </c>
      <c r="G205" s="92" t="s">
        <v>29</v>
      </c>
      <c r="H205" s="92" t="s">
        <v>29</v>
      </c>
      <c r="I205" s="116" t="s">
        <v>29</v>
      </c>
      <c r="J205" s="89"/>
      <c r="K205" s="89"/>
      <c r="L205" s="89"/>
      <c r="M205" s="96" t="s">
        <v>29</v>
      </c>
      <c r="N205" s="108"/>
      <c r="O205" s="92" t="s">
        <v>29</v>
      </c>
      <c r="P205" s="93" t="s">
        <v>29</v>
      </c>
      <c r="Q205" s="97" t="s">
        <v>29</v>
      </c>
      <c r="R205" s="92" t="s">
        <v>29</v>
      </c>
      <c r="S205" s="92" t="s">
        <v>29</v>
      </c>
      <c r="T205" s="92" t="s">
        <v>29</v>
      </c>
      <c r="U205" s="116" t="s">
        <v>29</v>
      </c>
    </row>
    <row r="206" spans="1:21" ht="13.2" x14ac:dyDescent="0.25">
      <c r="A206" s="67" t="s">
        <v>29</v>
      </c>
      <c r="B206" s="108"/>
      <c r="C206" s="92" t="s">
        <v>29</v>
      </c>
      <c r="D206" s="93" t="s">
        <v>29</v>
      </c>
      <c r="E206" s="97" t="s">
        <v>29</v>
      </c>
      <c r="F206" s="92" t="s">
        <v>29</v>
      </c>
      <c r="G206" s="92" t="s">
        <v>29</v>
      </c>
      <c r="H206" s="92" t="s">
        <v>29</v>
      </c>
      <c r="I206" s="116" t="s">
        <v>29</v>
      </c>
      <c r="J206" s="89"/>
      <c r="K206" s="89"/>
      <c r="L206" s="89"/>
      <c r="M206" s="96" t="s">
        <v>29</v>
      </c>
      <c r="N206" s="108"/>
      <c r="O206" s="92" t="s">
        <v>29</v>
      </c>
      <c r="P206" s="93" t="s">
        <v>29</v>
      </c>
      <c r="Q206" s="97" t="s">
        <v>29</v>
      </c>
      <c r="R206" s="92" t="s">
        <v>29</v>
      </c>
      <c r="S206" s="92" t="s">
        <v>29</v>
      </c>
      <c r="T206" s="92" t="s">
        <v>29</v>
      </c>
      <c r="U206" s="116" t="s">
        <v>29</v>
      </c>
    </row>
    <row r="207" spans="1:21" ht="13.2" x14ac:dyDescent="0.25">
      <c r="A207" s="67"/>
      <c r="B207" s="108"/>
      <c r="C207" s="92" t="s">
        <v>29</v>
      </c>
      <c r="D207" s="93" t="s">
        <v>29</v>
      </c>
      <c r="E207" s="97" t="s">
        <v>29</v>
      </c>
      <c r="F207" s="92" t="s">
        <v>29</v>
      </c>
      <c r="G207" s="92" t="s">
        <v>29</v>
      </c>
      <c r="H207" s="92" t="s">
        <v>29</v>
      </c>
      <c r="I207" s="116" t="s">
        <v>29</v>
      </c>
      <c r="J207" s="89"/>
      <c r="K207" s="89"/>
      <c r="L207" s="89"/>
      <c r="M207" s="96"/>
      <c r="N207" s="108"/>
      <c r="O207" s="92" t="s">
        <v>29</v>
      </c>
      <c r="P207" s="93" t="s">
        <v>29</v>
      </c>
      <c r="Q207" s="97" t="s">
        <v>29</v>
      </c>
      <c r="R207" s="92" t="s">
        <v>29</v>
      </c>
      <c r="S207" s="92" t="s">
        <v>29</v>
      </c>
      <c r="T207" s="92" t="s">
        <v>29</v>
      </c>
      <c r="U207" s="116" t="s">
        <v>29</v>
      </c>
    </row>
    <row r="208" spans="1:21" ht="13.2" x14ac:dyDescent="0.25">
      <c r="A208" s="67"/>
      <c r="B208" s="108"/>
      <c r="C208" s="92" t="s">
        <v>29</v>
      </c>
      <c r="D208" s="93" t="s">
        <v>29</v>
      </c>
      <c r="E208" s="97" t="s">
        <v>29</v>
      </c>
      <c r="F208" s="92" t="s">
        <v>29</v>
      </c>
      <c r="G208" s="92" t="s">
        <v>29</v>
      </c>
      <c r="H208" s="92" t="s">
        <v>29</v>
      </c>
      <c r="I208" s="116" t="s">
        <v>29</v>
      </c>
      <c r="J208" s="89"/>
      <c r="K208" s="89"/>
      <c r="L208" s="89"/>
      <c r="M208" s="96"/>
      <c r="N208" s="108"/>
      <c r="O208" s="92" t="s">
        <v>29</v>
      </c>
      <c r="P208" s="98" t="s">
        <v>29</v>
      </c>
      <c r="Q208" s="97" t="s">
        <v>29</v>
      </c>
      <c r="R208" s="92" t="s">
        <v>29</v>
      </c>
      <c r="S208" s="92" t="s">
        <v>29</v>
      </c>
      <c r="T208" s="92" t="s">
        <v>29</v>
      </c>
      <c r="U208" s="116" t="s">
        <v>29</v>
      </c>
    </row>
    <row r="209" spans="1:21" ht="13.2" x14ac:dyDescent="0.25">
      <c r="A209" s="67"/>
      <c r="B209" s="108"/>
      <c r="C209" s="92" t="s">
        <v>29</v>
      </c>
      <c r="D209" s="93" t="s">
        <v>29</v>
      </c>
      <c r="E209" s="97" t="s">
        <v>29</v>
      </c>
      <c r="F209" s="92" t="s">
        <v>29</v>
      </c>
      <c r="G209" s="92" t="s">
        <v>29</v>
      </c>
      <c r="H209" s="92" t="s">
        <v>29</v>
      </c>
      <c r="I209" s="116" t="s">
        <v>29</v>
      </c>
      <c r="J209" s="89"/>
      <c r="K209" s="89"/>
      <c r="L209" s="89"/>
      <c r="M209" s="96"/>
      <c r="N209" s="108"/>
      <c r="O209" s="92" t="s">
        <v>29</v>
      </c>
      <c r="P209" s="98" t="s">
        <v>29</v>
      </c>
      <c r="Q209" s="97" t="s">
        <v>29</v>
      </c>
      <c r="R209" s="92" t="s">
        <v>29</v>
      </c>
      <c r="S209" s="92" t="s">
        <v>29</v>
      </c>
      <c r="T209" s="92" t="s">
        <v>29</v>
      </c>
      <c r="U209" s="116" t="s">
        <v>29</v>
      </c>
    </row>
    <row r="210" spans="1:21" ht="13.2" x14ac:dyDescent="0.25">
      <c r="A210" s="67"/>
      <c r="B210" s="108"/>
      <c r="C210" s="92" t="s">
        <v>29</v>
      </c>
      <c r="D210" s="98" t="s">
        <v>29</v>
      </c>
      <c r="E210" s="97" t="s">
        <v>29</v>
      </c>
      <c r="F210" s="92" t="s">
        <v>29</v>
      </c>
      <c r="G210" s="92" t="s">
        <v>29</v>
      </c>
      <c r="H210" s="92" t="s">
        <v>29</v>
      </c>
      <c r="I210" s="116" t="s">
        <v>29</v>
      </c>
      <c r="J210" s="89"/>
      <c r="K210" s="89"/>
      <c r="L210" s="89"/>
      <c r="M210" s="96"/>
      <c r="N210" s="108"/>
      <c r="O210" s="92" t="s">
        <v>29</v>
      </c>
      <c r="P210" s="98" t="s">
        <v>29</v>
      </c>
      <c r="Q210" s="97" t="s">
        <v>29</v>
      </c>
      <c r="R210" s="92" t="s">
        <v>29</v>
      </c>
      <c r="S210" s="92" t="s">
        <v>29</v>
      </c>
      <c r="T210" s="92" t="s">
        <v>29</v>
      </c>
      <c r="U210" s="116" t="s">
        <v>29</v>
      </c>
    </row>
    <row r="211" spans="1:21" ht="13.2" x14ac:dyDescent="0.25">
      <c r="A211" s="67"/>
      <c r="B211" s="108"/>
      <c r="C211" s="92" t="s">
        <v>29</v>
      </c>
      <c r="D211" s="98" t="s">
        <v>29</v>
      </c>
      <c r="E211" s="97" t="s">
        <v>29</v>
      </c>
      <c r="F211" s="92" t="s">
        <v>29</v>
      </c>
      <c r="G211" s="92" t="s">
        <v>29</v>
      </c>
      <c r="H211" s="92" t="s">
        <v>29</v>
      </c>
      <c r="I211" s="116" t="s">
        <v>29</v>
      </c>
      <c r="J211" s="89"/>
      <c r="K211" s="89"/>
      <c r="L211" s="89"/>
      <c r="M211" s="96"/>
      <c r="N211" s="108"/>
      <c r="O211" s="92" t="s">
        <v>29</v>
      </c>
      <c r="P211" s="98" t="s">
        <v>29</v>
      </c>
      <c r="Q211" s="97" t="s">
        <v>29</v>
      </c>
      <c r="R211" s="92" t="s">
        <v>29</v>
      </c>
      <c r="S211" s="92" t="s">
        <v>29</v>
      </c>
      <c r="T211" s="92" t="s">
        <v>29</v>
      </c>
      <c r="U211" s="116" t="s">
        <v>29</v>
      </c>
    </row>
    <row r="212" spans="1:21" ht="13.2" x14ac:dyDescent="0.25">
      <c r="A212" s="67" t="s">
        <v>29</v>
      </c>
      <c r="B212" s="108"/>
      <c r="C212" s="92" t="s">
        <v>29</v>
      </c>
      <c r="D212" s="98" t="s">
        <v>29</v>
      </c>
      <c r="E212" s="97" t="s">
        <v>29</v>
      </c>
      <c r="F212" s="92" t="s">
        <v>29</v>
      </c>
      <c r="G212" s="92" t="s">
        <v>29</v>
      </c>
      <c r="H212" s="92" t="s">
        <v>29</v>
      </c>
      <c r="I212" s="116" t="s">
        <v>29</v>
      </c>
      <c r="J212" s="89"/>
      <c r="K212" s="89"/>
      <c r="L212" s="89"/>
      <c r="M212" s="96" t="s">
        <v>29</v>
      </c>
      <c r="N212" s="108"/>
      <c r="O212" s="92" t="s">
        <v>29</v>
      </c>
      <c r="P212" s="98" t="s">
        <v>29</v>
      </c>
      <c r="Q212" s="97" t="s">
        <v>29</v>
      </c>
      <c r="R212" s="92" t="s">
        <v>29</v>
      </c>
      <c r="S212" s="92" t="s">
        <v>29</v>
      </c>
      <c r="T212" s="92" t="s">
        <v>29</v>
      </c>
      <c r="U212" s="116" t="s">
        <v>29</v>
      </c>
    </row>
    <row r="213" spans="1:21" ht="13.2" x14ac:dyDescent="0.25">
      <c r="A213" s="67" t="s">
        <v>29</v>
      </c>
      <c r="B213" s="108"/>
      <c r="C213" s="92" t="s">
        <v>29</v>
      </c>
      <c r="D213" s="98" t="s">
        <v>29</v>
      </c>
      <c r="E213" s="97" t="s">
        <v>29</v>
      </c>
      <c r="F213" s="92" t="s">
        <v>29</v>
      </c>
      <c r="G213" s="92" t="s">
        <v>29</v>
      </c>
      <c r="H213" s="92" t="s">
        <v>29</v>
      </c>
      <c r="I213" s="116" t="s">
        <v>29</v>
      </c>
      <c r="J213" s="89"/>
      <c r="K213" s="89"/>
      <c r="L213" s="89"/>
      <c r="M213" s="96" t="s">
        <v>29</v>
      </c>
      <c r="N213" s="108"/>
      <c r="O213" s="92" t="s">
        <v>29</v>
      </c>
      <c r="P213" s="98" t="s">
        <v>29</v>
      </c>
      <c r="Q213" s="97" t="s">
        <v>29</v>
      </c>
      <c r="R213" s="92" t="s">
        <v>29</v>
      </c>
      <c r="S213" s="92" t="s">
        <v>29</v>
      </c>
      <c r="T213" s="92" t="s">
        <v>29</v>
      </c>
      <c r="U213" s="116" t="s">
        <v>29</v>
      </c>
    </row>
    <row r="214" spans="1:21" ht="13.2" x14ac:dyDescent="0.25">
      <c r="A214" s="67" t="s">
        <v>29</v>
      </c>
      <c r="B214" s="108"/>
      <c r="C214" s="219" t="s">
        <v>995</v>
      </c>
      <c r="D214" s="220"/>
      <c r="E214" s="220"/>
      <c r="F214" s="220"/>
      <c r="G214" s="99">
        <v>0</v>
      </c>
      <c r="H214" s="99">
        <v>0</v>
      </c>
      <c r="I214" s="116" t="s">
        <v>29</v>
      </c>
      <c r="J214" s="89"/>
      <c r="K214" s="89"/>
      <c r="L214" s="89"/>
      <c r="M214" s="96" t="s">
        <v>29</v>
      </c>
      <c r="N214" s="108"/>
      <c r="O214" s="219" t="s">
        <v>996</v>
      </c>
      <c r="P214" s="220"/>
      <c r="Q214" s="220"/>
      <c r="R214" s="220"/>
      <c r="S214" s="99">
        <v>9</v>
      </c>
      <c r="T214" s="99">
        <v>0</v>
      </c>
      <c r="U214" s="116" t="s">
        <v>29</v>
      </c>
    </row>
    <row r="215" spans="1:21" ht="13.2" x14ac:dyDescent="0.25">
      <c r="A215" s="67"/>
      <c r="B215" s="66"/>
      <c r="C215" s="117"/>
      <c r="D215" s="66"/>
      <c r="E215" s="66"/>
      <c r="F215" s="66"/>
      <c r="G215" s="66"/>
      <c r="H215" s="66"/>
      <c r="I215" s="66" t="s">
        <v>29</v>
      </c>
      <c r="J215" s="66"/>
      <c r="K215" s="66"/>
      <c r="L215" s="66"/>
      <c r="M215" s="74"/>
      <c r="N215" s="66"/>
      <c r="O215" s="66"/>
      <c r="P215" s="66"/>
      <c r="Q215" s="66"/>
      <c r="R215" s="66"/>
      <c r="S215" s="66"/>
      <c r="T215" s="66"/>
      <c r="U215" s="66" t="s">
        <v>29</v>
      </c>
    </row>
    <row r="216" spans="1:21" ht="13.2" x14ac:dyDescent="0.25">
      <c r="A216" s="67"/>
      <c r="B216" s="66"/>
      <c r="C216" s="118" t="s">
        <v>997</v>
      </c>
      <c r="D216" s="89"/>
      <c r="E216" s="89"/>
      <c r="F216" s="89"/>
      <c r="G216" s="89"/>
      <c r="H216" s="89"/>
      <c r="I216" s="89" t="s">
        <v>29</v>
      </c>
      <c r="J216" s="89"/>
      <c r="K216" s="89"/>
      <c r="L216" s="89"/>
      <c r="M216" s="96"/>
      <c r="N216" s="119"/>
      <c r="O216" s="120" t="s">
        <v>998</v>
      </c>
      <c r="P216" s="119"/>
      <c r="Q216" s="221" t="s">
        <v>2043</v>
      </c>
      <c r="R216" s="220"/>
      <c r="S216" s="220"/>
      <c r="T216" s="222"/>
      <c r="U216" s="66" t="s">
        <v>29</v>
      </c>
    </row>
    <row r="217" spans="1:21" ht="13.2" x14ac:dyDescent="0.25">
      <c r="A217" s="67"/>
      <c r="B217" s="66"/>
      <c r="C217" s="245" t="s">
        <v>2044</v>
      </c>
      <c r="D217" s="227"/>
      <c r="E217" s="227"/>
      <c r="F217" s="227"/>
      <c r="G217" s="227"/>
      <c r="H217" s="228"/>
      <c r="I217" s="89" t="s">
        <v>29</v>
      </c>
      <c r="J217" s="89"/>
      <c r="K217" s="89"/>
      <c r="L217" s="89"/>
      <c r="M217" s="96"/>
      <c r="N217" s="119"/>
      <c r="O217" s="120" t="s">
        <v>1001</v>
      </c>
      <c r="P217" s="121"/>
      <c r="Q217" s="221" t="s">
        <v>2043</v>
      </c>
      <c r="R217" s="220"/>
      <c r="S217" s="220"/>
      <c r="T217" s="222"/>
      <c r="U217" s="66" t="s">
        <v>29</v>
      </c>
    </row>
    <row r="218" spans="1:21" ht="13.2" x14ac:dyDescent="0.25">
      <c r="A218" s="67"/>
      <c r="B218" s="66"/>
      <c r="C218" s="231"/>
      <c r="D218" s="232"/>
      <c r="E218" s="232"/>
      <c r="F218" s="232"/>
      <c r="G218" s="232"/>
      <c r="H218" s="233"/>
      <c r="I218" s="89" t="s">
        <v>29</v>
      </c>
      <c r="J218" s="89"/>
      <c r="K218" s="89"/>
      <c r="L218" s="89"/>
      <c r="M218" s="96"/>
      <c r="N218" s="119"/>
      <c r="O218" s="120"/>
      <c r="P218" s="121"/>
      <c r="Q218" s="223"/>
      <c r="R218" s="224"/>
      <c r="S218" s="224"/>
      <c r="T218" s="224"/>
      <c r="U218" s="66" t="s">
        <v>29</v>
      </c>
    </row>
    <row r="219" spans="1:21" ht="13.2" x14ac:dyDescent="0.25">
      <c r="A219" s="67"/>
      <c r="B219" s="66"/>
      <c r="C219" s="118" t="s">
        <v>1003</v>
      </c>
      <c r="D219" s="122"/>
      <c r="E219" s="225" t="s">
        <v>2045</v>
      </c>
      <c r="F219" s="220"/>
      <c r="G219" s="220"/>
      <c r="H219" s="222"/>
      <c r="I219" s="89" t="s">
        <v>29</v>
      </c>
      <c r="J219" s="89"/>
      <c r="K219" s="89"/>
      <c r="L219" s="89"/>
      <c r="M219" s="96"/>
      <c r="N219" s="119"/>
      <c r="O219" s="118" t="s">
        <v>1004</v>
      </c>
      <c r="P219" s="122"/>
      <c r="Q219" s="225" t="s">
        <v>2046</v>
      </c>
      <c r="R219" s="220"/>
      <c r="S219" s="220"/>
      <c r="T219" s="222"/>
      <c r="U219" s="66" t="s">
        <v>29</v>
      </c>
    </row>
    <row r="220" spans="1:21" ht="13.2" x14ac:dyDescent="0.25">
      <c r="A220" s="67"/>
      <c r="B220" s="66"/>
      <c r="C220" s="118" t="s">
        <v>1006</v>
      </c>
      <c r="D220" s="122"/>
      <c r="E220" s="122"/>
      <c r="F220" s="122"/>
      <c r="G220" s="122"/>
      <c r="H220" s="122"/>
      <c r="I220" s="89" t="s">
        <v>29</v>
      </c>
      <c r="J220" s="89"/>
      <c r="K220" s="89"/>
      <c r="L220" s="89"/>
      <c r="M220" s="96"/>
      <c r="N220" s="119"/>
      <c r="O220" s="120" t="s">
        <v>1007</v>
      </c>
      <c r="P220" s="121"/>
      <c r="Q220" s="121"/>
      <c r="R220" s="121"/>
      <c r="S220" s="121"/>
      <c r="T220" s="121"/>
      <c r="U220" s="66" t="s">
        <v>29</v>
      </c>
    </row>
    <row r="221" spans="1:21" ht="13.2" x14ac:dyDescent="0.25">
      <c r="A221" s="67"/>
      <c r="B221" s="66"/>
      <c r="C221" s="242"/>
      <c r="D221" s="227"/>
      <c r="E221" s="227"/>
      <c r="F221" s="227"/>
      <c r="G221" s="227"/>
      <c r="H221" s="228"/>
      <c r="I221" s="66" t="s">
        <v>29</v>
      </c>
      <c r="J221" s="66"/>
      <c r="K221" s="66"/>
      <c r="L221" s="66"/>
      <c r="M221" s="74"/>
      <c r="N221" s="123"/>
      <c r="O221" s="240"/>
      <c r="P221" s="227"/>
      <c r="Q221" s="227"/>
      <c r="R221" s="227"/>
      <c r="S221" s="227"/>
      <c r="T221" s="228"/>
      <c r="U221" s="66" t="s">
        <v>29</v>
      </c>
    </row>
    <row r="222" spans="1:21" ht="13.2" x14ac:dyDescent="0.25">
      <c r="A222" s="67"/>
      <c r="B222" s="66"/>
      <c r="C222" s="229"/>
      <c r="D222" s="224"/>
      <c r="E222" s="224"/>
      <c r="F222" s="224"/>
      <c r="G222" s="224"/>
      <c r="H222" s="230"/>
      <c r="I222" s="66" t="s">
        <v>29</v>
      </c>
      <c r="J222" s="66"/>
      <c r="K222" s="66"/>
      <c r="L222" s="66"/>
      <c r="M222" s="74"/>
      <c r="N222" s="123"/>
      <c r="O222" s="229"/>
      <c r="P222" s="224"/>
      <c r="Q222" s="224"/>
      <c r="R222" s="224"/>
      <c r="S222" s="224"/>
      <c r="T222" s="230"/>
      <c r="U222" s="66" t="s">
        <v>29</v>
      </c>
    </row>
    <row r="223" spans="1:21" ht="13.2" x14ac:dyDescent="0.25">
      <c r="A223" s="67"/>
      <c r="B223" s="66"/>
      <c r="C223" s="229"/>
      <c r="D223" s="224"/>
      <c r="E223" s="224"/>
      <c r="F223" s="224"/>
      <c r="G223" s="224"/>
      <c r="H223" s="230"/>
      <c r="I223" s="66" t="s">
        <v>29</v>
      </c>
      <c r="J223" s="66"/>
      <c r="K223" s="66"/>
      <c r="L223" s="66"/>
      <c r="M223" s="74"/>
      <c r="N223" s="123"/>
      <c r="O223" s="229"/>
      <c r="P223" s="224"/>
      <c r="Q223" s="224"/>
      <c r="R223" s="224"/>
      <c r="S223" s="224"/>
      <c r="T223" s="230"/>
      <c r="U223" s="66" t="s">
        <v>29</v>
      </c>
    </row>
    <row r="224" spans="1:21" ht="13.2" x14ac:dyDescent="0.25">
      <c r="A224" s="67"/>
      <c r="B224" s="66"/>
      <c r="C224" s="231"/>
      <c r="D224" s="232"/>
      <c r="E224" s="232"/>
      <c r="F224" s="232"/>
      <c r="G224" s="232"/>
      <c r="H224" s="233"/>
      <c r="I224" s="66" t="s">
        <v>29</v>
      </c>
      <c r="J224" s="66"/>
      <c r="K224" s="66"/>
      <c r="L224" s="66"/>
      <c r="M224" s="74"/>
      <c r="N224" s="123"/>
      <c r="O224" s="231"/>
      <c r="P224" s="232"/>
      <c r="Q224" s="232"/>
      <c r="R224" s="232"/>
      <c r="S224" s="232"/>
      <c r="T224" s="233"/>
      <c r="U224" s="66" t="s">
        <v>29</v>
      </c>
    </row>
    <row r="225" spans="1:21" ht="13.2" x14ac:dyDescent="0.25">
      <c r="A225" s="67"/>
      <c r="B225" s="66"/>
      <c r="C225" s="117"/>
      <c r="D225" s="66"/>
      <c r="E225" s="66"/>
      <c r="F225" s="66"/>
      <c r="G225" s="66"/>
      <c r="H225" s="66"/>
      <c r="I225" s="66" t="s">
        <v>29</v>
      </c>
      <c r="J225" s="66"/>
      <c r="K225" s="66"/>
      <c r="L225" s="66"/>
      <c r="M225" s="74"/>
      <c r="N225" s="66"/>
      <c r="O225" s="66"/>
      <c r="P225" s="66"/>
      <c r="Q225" s="66"/>
      <c r="R225" s="66"/>
      <c r="S225" s="66"/>
      <c r="T225" s="66"/>
      <c r="U225" s="66" t="s">
        <v>29</v>
      </c>
    </row>
    <row r="226" spans="1:21" ht="17.399999999999999" x14ac:dyDescent="0.25">
      <c r="A226" s="67"/>
      <c r="B226" s="124"/>
      <c r="C226" s="125"/>
      <c r="D226" s="126" t="s">
        <v>912</v>
      </c>
      <c r="E226" s="127">
        <v>3</v>
      </c>
      <c r="F226" s="36"/>
      <c r="G226" s="36"/>
      <c r="H226" s="36"/>
      <c r="I226" s="129" t="s">
        <v>29</v>
      </c>
      <c r="J226" s="129"/>
      <c r="K226" s="129"/>
      <c r="L226" s="129"/>
      <c r="M226" s="129"/>
      <c r="N226" s="129"/>
      <c r="O226" s="129"/>
      <c r="P226" s="126" t="s">
        <v>913</v>
      </c>
      <c r="Q226" s="241">
        <v>45461</v>
      </c>
      <c r="R226" s="224"/>
      <c r="S226" s="224"/>
      <c r="T226" s="224"/>
      <c r="U226" s="148" t="s">
        <v>29</v>
      </c>
    </row>
    <row r="227" spans="1:21" ht="15.6" x14ac:dyDescent="0.25">
      <c r="A227" s="67"/>
      <c r="B227" s="131"/>
      <c r="C227" s="132"/>
      <c r="D227" s="133" t="s">
        <v>914</v>
      </c>
      <c r="E227" s="133"/>
      <c r="F227" s="39"/>
      <c r="G227" s="39"/>
      <c r="H227" s="39"/>
      <c r="I227" s="39" t="s">
        <v>29</v>
      </c>
      <c r="J227" s="39"/>
      <c r="K227" s="39"/>
      <c r="L227" s="39"/>
      <c r="M227" s="39"/>
      <c r="N227" s="39"/>
      <c r="O227" s="39"/>
      <c r="P227" s="135" t="s">
        <v>3</v>
      </c>
      <c r="Q227" s="235" t="s">
        <v>863</v>
      </c>
      <c r="R227" s="224"/>
      <c r="S227" s="224"/>
      <c r="T227" s="224"/>
      <c r="U227" s="39" t="s">
        <v>29</v>
      </c>
    </row>
    <row r="228" spans="1:21" ht="15.6" x14ac:dyDescent="0.25">
      <c r="A228" s="67"/>
      <c r="B228" s="136"/>
      <c r="C228" s="137"/>
      <c r="D228" s="133"/>
      <c r="E228" s="133"/>
      <c r="F228" s="39"/>
      <c r="G228" s="39"/>
      <c r="H228" s="39"/>
      <c r="I228" s="39" t="s">
        <v>29</v>
      </c>
      <c r="J228" s="39"/>
      <c r="K228" s="39"/>
      <c r="L228" s="39"/>
      <c r="M228" s="39"/>
      <c r="N228" s="39"/>
      <c r="O228" s="39"/>
      <c r="P228" s="133"/>
      <c r="Q228" s="133"/>
      <c r="R228" s="133"/>
      <c r="S228" s="39"/>
      <c r="T228" s="39"/>
      <c r="U228" s="39" t="s">
        <v>29</v>
      </c>
    </row>
    <row r="229" spans="1:21" ht="17.399999999999999" x14ac:dyDescent="0.25">
      <c r="A229" s="67"/>
      <c r="B229" s="149"/>
      <c r="C229" s="257" t="s">
        <v>859</v>
      </c>
      <c r="D229" s="220"/>
      <c r="E229" s="271" t="s">
        <v>909</v>
      </c>
      <c r="F229" s="220"/>
      <c r="G229" s="222"/>
      <c r="H229" s="150" t="s">
        <v>2047</v>
      </c>
      <c r="I229" s="151" t="s">
        <v>29</v>
      </c>
      <c r="J229" s="152"/>
      <c r="K229" s="152"/>
      <c r="L229" s="152"/>
      <c r="M229" s="153"/>
      <c r="N229" s="64"/>
      <c r="O229" s="236" t="s">
        <v>860</v>
      </c>
      <c r="P229" s="220"/>
      <c r="Q229" s="261" t="s">
        <v>910</v>
      </c>
      <c r="R229" s="220"/>
      <c r="S229" s="222"/>
      <c r="T229" s="154" t="s">
        <v>2048</v>
      </c>
      <c r="U229" s="155" t="s">
        <v>29</v>
      </c>
    </row>
    <row r="230" spans="1:21" ht="17.399999999999999" x14ac:dyDescent="0.25">
      <c r="A230" s="67"/>
      <c r="B230" s="156"/>
      <c r="C230" s="265" t="s">
        <v>2</v>
      </c>
      <c r="D230" s="222"/>
      <c r="E230" s="266">
        <v>30</v>
      </c>
      <c r="F230" s="220"/>
      <c r="G230" s="220"/>
      <c r="H230" s="157"/>
      <c r="I230" s="151" t="s">
        <v>29</v>
      </c>
      <c r="J230" s="158"/>
      <c r="K230" s="158"/>
      <c r="L230" s="158"/>
      <c r="M230" s="159"/>
      <c r="N230" s="64"/>
      <c r="O230" s="262" t="s">
        <v>2</v>
      </c>
      <c r="P230" s="222"/>
      <c r="Q230" s="263">
        <v>25</v>
      </c>
      <c r="R230" s="220"/>
      <c r="S230" s="220"/>
      <c r="T230" s="160"/>
      <c r="U230" s="155" t="s">
        <v>29</v>
      </c>
    </row>
    <row r="231" spans="1:21" ht="13.2" x14ac:dyDescent="0.25">
      <c r="A231" s="67"/>
      <c r="B231" s="66"/>
      <c r="C231" s="66"/>
      <c r="D231" s="66"/>
      <c r="E231" s="66"/>
      <c r="F231" s="66"/>
      <c r="G231" s="66"/>
      <c r="H231" s="66"/>
      <c r="I231" s="66" t="s">
        <v>29</v>
      </c>
      <c r="J231" s="66"/>
      <c r="K231" s="66"/>
      <c r="L231" s="66"/>
      <c r="M231" s="74"/>
      <c r="N231" s="66"/>
      <c r="O231" s="66"/>
      <c r="P231" s="66"/>
      <c r="Q231" s="66"/>
      <c r="R231" s="66"/>
      <c r="S231" s="66"/>
      <c r="T231" s="66"/>
      <c r="U231" s="66" t="s">
        <v>29</v>
      </c>
    </row>
    <row r="232" spans="1:21" ht="13.2" x14ac:dyDescent="0.25">
      <c r="A232" s="67"/>
      <c r="B232" s="66"/>
      <c r="C232" s="68"/>
      <c r="D232" s="69"/>
      <c r="E232" s="70"/>
      <c r="F232" s="71"/>
      <c r="G232" s="72" t="s">
        <v>917</v>
      </c>
      <c r="H232" s="73" t="s">
        <v>918</v>
      </c>
      <c r="I232" s="66" t="s">
        <v>29</v>
      </c>
      <c r="J232" s="66"/>
      <c r="K232" s="66"/>
      <c r="L232" s="66"/>
      <c r="M232" s="74"/>
      <c r="N232" s="66"/>
      <c r="O232" s="68"/>
      <c r="P232" s="69"/>
      <c r="Q232" s="70"/>
      <c r="R232" s="71"/>
      <c r="S232" s="72" t="s">
        <v>917</v>
      </c>
      <c r="T232" s="73" t="s">
        <v>918</v>
      </c>
      <c r="U232" s="66" t="s">
        <v>29</v>
      </c>
    </row>
    <row r="233" spans="1:21" ht="13.2" x14ac:dyDescent="0.25">
      <c r="A233" s="67"/>
      <c r="B233" s="66"/>
      <c r="C233" s="68" t="s">
        <v>919</v>
      </c>
      <c r="D233" s="75" t="s">
        <v>920</v>
      </c>
      <c r="E233" s="76"/>
      <c r="F233" s="77"/>
      <c r="G233" s="78">
        <v>9</v>
      </c>
      <c r="H233" s="79">
        <v>0</v>
      </c>
      <c r="I233" s="66" t="s">
        <v>29</v>
      </c>
      <c r="J233" s="66"/>
      <c r="K233" s="66"/>
      <c r="L233" s="66"/>
      <c r="M233" s="74"/>
      <c r="N233" s="66"/>
      <c r="O233" s="68" t="s">
        <v>921</v>
      </c>
      <c r="P233" s="75" t="s">
        <v>922</v>
      </c>
      <c r="Q233" s="76"/>
      <c r="R233" s="77"/>
      <c r="S233" s="78">
        <v>9</v>
      </c>
      <c r="T233" s="79">
        <v>0</v>
      </c>
      <c r="U233" s="66" t="s">
        <v>29</v>
      </c>
    </row>
    <row r="234" spans="1:21" ht="13.2" x14ac:dyDescent="0.25">
      <c r="A234" s="67"/>
      <c r="B234" s="66"/>
      <c r="C234" s="68" t="s">
        <v>923</v>
      </c>
      <c r="D234" s="75" t="s">
        <v>924</v>
      </c>
      <c r="E234" s="76"/>
      <c r="F234" s="77"/>
      <c r="G234" s="78">
        <v>0</v>
      </c>
      <c r="H234" s="79">
        <v>5</v>
      </c>
      <c r="I234" s="66" t="s">
        <v>29</v>
      </c>
      <c r="J234" s="66"/>
      <c r="K234" s="66"/>
      <c r="L234" s="66"/>
      <c r="M234" s="74"/>
      <c r="N234" s="66"/>
      <c r="O234" s="68" t="s">
        <v>925</v>
      </c>
      <c r="P234" s="75" t="s">
        <v>926</v>
      </c>
      <c r="Q234" s="76"/>
      <c r="R234" s="77"/>
      <c r="S234" s="78">
        <v>8</v>
      </c>
      <c r="T234" s="79">
        <v>0</v>
      </c>
      <c r="U234" s="66" t="s">
        <v>29</v>
      </c>
    </row>
    <row r="235" spans="1:21" ht="13.2" x14ac:dyDescent="0.25">
      <c r="A235" s="67"/>
      <c r="B235" s="66"/>
      <c r="C235" s="68" t="s">
        <v>927</v>
      </c>
      <c r="D235" s="75" t="s">
        <v>928</v>
      </c>
      <c r="E235" s="76"/>
      <c r="F235" s="77"/>
      <c r="G235" s="78">
        <v>4</v>
      </c>
      <c r="H235" s="79">
        <v>5</v>
      </c>
      <c r="I235" s="66" t="s">
        <v>29</v>
      </c>
      <c r="J235" s="66"/>
      <c r="K235" s="66"/>
      <c r="L235" s="66"/>
      <c r="M235" s="74"/>
      <c r="N235" s="66"/>
      <c r="O235" s="68" t="s">
        <v>929</v>
      </c>
      <c r="P235" s="75" t="s">
        <v>930</v>
      </c>
      <c r="Q235" s="76"/>
      <c r="R235" s="77"/>
      <c r="S235" s="78">
        <v>0</v>
      </c>
      <c r="T235" s="79">
        <v>5</v>
      </c>
      <c r="U235" s="66" t="s">
        <v>29</v>
      </c>
    </row>
    <row r="236" spans="1:21" ht="13.2" x14ac:dyDescent="0.25">
      <c r="A236" s="67"/>
      <c r="B236" s="66"/>
      <c r="C236" s="68" t="s">
        <v>931</v>
      </c>
      <c r="D236" s="75" t="s">
        <v>932</v>
      </c>
      <c r="E236" s="76"/>
      <c r="F236" s="77"/>
      <c r="G236" s="78">
        <v>0</v>
      </c>
      <c r="H236" s="79">
        <v>5</v>
      </c>
      <c r="I236" s="66" t="s">
        <v>29</v>
      </c>
      <c r="J236" s="66"/>
      <c r="K236" s="66"/>
      <c r="L236" s="66"/>
      <c r="M236" s="74"/>
      <c r="N236" s="66"/>
      <c r="O236" s="68" t="s">
        <v>933</v>
      </c>
      <c r="P236" s="75" t="s">
        <v>934</v>
      </c>
      <c r="Q236" s="76"/>
      <c r="R236" s="77"/>
      <c r="S236" s="78">
        <v>0</v>
      </c>
      <c r="T236" s="79">
        <v>5</v>
      </c>
      <c r="U236" s="66" t="s">
        <v>29</v>
      </c>
    </row>
    <row r="237" spans="1:21" ht="13.2" x14ac:dyDescent="0.25">
      <c r="A237" s="67"/>
      <c r="B237" s="66"/>
      <c r="C237" s="80"/>
      <c r="D237" s="81" t="s">
        <v>935</v>
      </c>
      <c r="E237" s="82"/>
      <c r="F237" s="83"/>
      <c r="G237" s="72">
        <v>13</v>
      </c>
      <c r="H237" s="73">
        <v>15</v>
      </c>
      <c r="I237" s="66" t="s">
        <v>29</v>
      </c>
      <c r="J237" s="66"/>
      <c r="K237" s="66"/>
      <c r="L237" s="66"/>
      <c r="M237" s="74"/>
      <c r="N237" s="66"/>
      <c r="O237" s="80"/>
      <c r="P237" s="81" t="s">
        <v>935</v>
      </c>
      <c r="Q237" s="82"/>
      <c r="R237" s="83"/>
      <c r="S237" s="72">
        <v>17</v>
      </c>
      <c r="T237" s="73">
        <v>10</v>
      </c>
      <c r="U237" s="66" t="s">
        <v>29</v>
      </c>
    </row>
    <row r="238" spans="1:21" ht="13.2" x14ac:dyDescent="0.25">
      <c r="A238" s="67"/>
      <c r="B238" s="66"/>
      <c r="C238" s="66"/>
      <c r="D238" s="66"/>
      <c r="E238" s="66"/>
      <c r="F238" s="66"/>
      <c r="G238" s="66"/>
      <c r="H238" s="66"/>
      <c r="I238" s="66" t="s">
        <v>29</v>
      </c>
      <c r="J238" s="66"/>
      <c r="K238" s="66"/>
      <c r="L238" s="66"/>
      <c r="M238" s="74"/>
      <c r="N238" s="66"/>
      <c r="O238" s="66"/>
      <c r="P238" s="66"/>
      <c r="Q238" s="66"/>
      <c r="R238" s="66"/>
      <c r="S238" s="66"/>
      <c r="T238" s="66"/>
      <c r="U238" s="66" t="s">
        <v>29</v>
      </c>
    </row>
    <row r="239" spans="1:21" ht="13.2" x14ac:dyDescent="0.25">
      <c r="A239" s="67"/>
      <c r="B239" s="66"/>
      <c r="C239" s="66"/>
      <c r="D239" s="66"/>
      <c r="E239" s="66"/>
      <c r="F239" s="66"/>
      <c r="G239" s="66"/>
      <c r="H239" s="66"/>
      <c r="I239" s="66" t="s">
        <v>29</v>
      </c>
      <c r="J239" s="66"/>
      <c r="K239" s="66"/>
      <c r="L239" s="66"/>
      <c r="M239" s="74"/>
      <c r="N239" s="66"/>
      <c r="O239" s="66"/>
      <c r="P239" s="66"/>
      <c r="Q239" s="66"/>
      <c r="R239" s="66"/>
      <c r="S239" s="66"/>
      <c r="T239" s="66"/>
      <c r="U239" s="66" t="s">
        <v>29</v>
      </c>
    </row>
    <row r="240" spans="1:21" ht="13.2" x14ac:dyDescent="0.25">
      <c r="A240" s="67"/>
      <c r="B240" s="66"/>
      <c r="C240" s="66"/>
      <c r="D240" s="66"/>
      <c r="E240" s="66"/>
      <c r="F240" s="66"/>
      <c r="G240" s="66"/>
      <c r="H240" s="66"/>
      <c r="I240" s="66" t="s">
        <v>29</v>
      </c>
      <c r="J240" s="66"/>
      <c r="K240" s="66"/>
      <c r="L240" s="66"/>
      <c r="M240" s="74"/>
      <c r="N240" s="66"/>
      <c r="O240" s="66"/>
      <c r="P240" s="66"/>
      <c r="Q240" s="66"/>
      <c r="R240" s="66"/>
      <c r="S240" s="66"/>
      <c r="T240" s="66"/>
      <c r="U240" s="66" t="s">
        <v>29</v>
      </c>
    </row>
    <row r="241" spans="1:21" ht="13.2" x14ac:dyDescent="0.25">
      <c r="A241" s="67" t="s">
        <v>919</v>
      </c>
      <c r="B241" s="84"/>
      <c r="C241" s="85" t="s">
        <v>936</v>
      </c>
      <c r="D241" s="86" t="s">
        <v>920</v>
      </c>
      <c r="E241" s="87" t="s">
        <v>2</v>
      </c>
      <c r="F241" s="87" t="s">
        <v>937</v>
      </c>
      <c r="G241" s="87" t="s">
        <v>917</v>
      </c>
      <c r="H241" s="87" t="s">
        <v>918</v>
      </c>
      <c r="I241" s="91" t="s">
        <v>29</v>
      </c>
      <c r="J241" s="89"/>
      <c r="K241" s="89"/>
      <c r="L241" s="89"/>
      <c r="M241" s="90" t="s">
        <v>921</v>
      </c>
      <c r="N241" s="91"/>
      <c r="O241" s="85" t="s">
        <v>936</v>
      </c>
      <c r="P241" s="86" t="s">
        <v>922</v>
      </c>
      <c r="Q241" s="87" t="s">
        <v>2</v>
      </c>
      <c r="R241" s="87" t="s">
        <v>937</v>
      </c>
      <c r="S241" s="87" t="s">
        <v>917</v>
      </c>
      <c r="T241" s="87" t="s">
        <v>918</v>
      </c>
      <c r="U241" s="91" t="s">
        <v>29</v>
      </c>
    </row>
    <row r="242" spans="1:21" ht="13.2" x14ac:dyDescent="0.25">
      <c r="A242" s="67" t="s">
        <v>919</v>
      </c>
      <c r="B242" s="84"/>
      <c r="C242" s="92">
        <v>1</v>
      </c>
      <c r="D242" s="93" t="s">
        <v>2049</v>
      </c>
      <c r="E242" s="94" t="s">
        <v>458</v>
      </c>
      <c r="F242" s="92" t="s">
        <v>2047</v>
      </c>
      <c r="G242" s="92">
        <v>5</v>
      </c>
      <c r="H242" s="92" t="s">
        <v>29</v>
      </c>
      <c r="I242" s="115" t="s">
        <v>29</v>
      </c>
      <c r="J242" s="89"/>
      <c r="K242" s="89"/>
      <c r="L242" s="89"/>
      <c r="M242" s="96" t="s">
        <v>921</v>
      </c>
      <c r="N242" s="84"/>
      <c r="O242" s="92">
        <v>1</v>
      </c>
      <c r="P242" s="93" t="s">
        <v>2050</v>
      </c>
      <c r="Q242" s="94" t="s">
        <v>628</v>
      </c>
      <c r="R242" s="92" t="s">
        <v>2047</v>
      </c>
      <c r="S242" s="92">
        <v>5</v>
      </c>
      <c r="T242" s="92" t="s">
        <v>29</v>
      </c>
      <c r="U242" s="115" t="s">
        <v>29</v>
      </c>
    </row>
    <row r="243" spans="1:21" ht="13.2" x14ac:dyDescent="0.25">
      <c r="A243" s="67" t="s">
        <v>919</v>
      </c>
      <c r="B243" s="84"/>
      <c r="C243" s="92">
        <v>2</v>
      </c>
      <c r="D243" s="93" t="s">
        <v>2051</v>
      </c>
      <c r="E243" s="97" t="s">
        <v>117</v>
      </c>
      <c r="F243" s="92" t="s">
        <v>2047</v>
      </c>
      <c r="G243" s="92">
        <v>3</v>
      </c>
      <c r="H243" s="92" t="s">
        <v>29</v>
      </c>
      <c r="I243" s="115" t="s">
        <v>29</v>
      </c>
      <c r="J243" s="89"/>
      <c r="K243" s="89"/>
      <c r="L243" s="89"/>
      <c r="M243" s="96" t="s">
        <v>921</v>
      </c>
      <c r="N243" s="84"/>
      <c r="O243" s="92">
        <v>2</v>
      </c>
      <c r="P243" s="93" t="s">
        <v>2052</v>
      </c>
      <c r="Q243" s="97" t="s">
        <v>625</v>
      </c>
      <c r="R243" s="92" t="s">
        <v>2047</v>
      </c>
      <c r="S243" s="92">
        <v>3</v>
      </c>
      <c r="T243" s="92" t="s">
        <v>29</v>
      </c>
      <c r="U243" s="115" t="s">
        <v>29</v>
      </c>
    </row>
    <row r="244" spans="1:21" ht="13.2" x14ac:dyDescent="0.25">
      <c r="A244" s="67" t="s">
        <v>919</v>
      </c>
      <c r="B244" s="84"/>
      <c r="C244" s="92">
        <v>3</v>
      </c>
      <c r="D244" s="93" t="s">
        <v>2053</v>
      </c>
      <c r="E244" s="97" t="s">
        <v>623</v>
      </c>
      <c r="F244" s="92" t="s">
        <v>2047</v>
      </c>
      <c r="G244" s="92">
        <v>1</v>
      </c>
      <c r="H244" s="92" t="s">
        <v>29</v>
      </c>
      <c r="I244" s="115" t="s">
        <v>29</v>
      </c>
      <c r="J244" s="89"/>
      <c r="K244" s="89"/>
      <c r="L244" s="89"/>
      <c r="M244" s="96" t="s">
        <v>921</v>
      </c>
      <c r="N244" s="84"/>
      <c r="O244" s="92">
        <v>3</v>
      </c>
      <c r="P244" s="93" t="s">
        <v>2054</v>
      </c>
      <c r="Q244" s="97" t="s">
        <v>627</v>
      </c>
      <c r="R244" s="92" t="s">
        <v>2047</v>
      </c>
      <c r="S244" s="92">
        <v>1</v>
      </c>
      <c r="T244" s="92" t="s">
        <v>29</v>
      </c>
      <c r="U244" s="115" t="s">
        <v>29</v>
      </c>
    </row>
    <row r="245" spans="1:21" ht="26.4" x14ac:dyDescent="0.25">
      <c r="A245" s="67" t="s">
        <v>29</v>
      </c>
      <c r="B245" s="84"/>
      <c r="C245" s="92" t="s">
        <v>29</v>
      </c>
      <c r="D245" s="93" t="s">
        <v>29</v>
      </c>
      <c r="E245" s="97" t="s">
        <v>29</v>
      </c>
      <c r="F245" s="92" t="s">
        <v>29</v>
      </c>
      <c r="G245" s="92" t="s">
        <v>29</v>
      </c>
      <c r="H245" s="92" t="s">
        <v>29</v>
      </c>
      <c r="I245" s="115" t="s">
        <v>29</v>
      </c>
      <c r="J245" s="89"/>
      <c r="K245" s="89"/>
      <c r="L245" s="89"/>
      <c r="M245" s="96" t="s">
        <v>921</v>
      </c>
      <c r="N245" s="84"/>
      <c r="O245" s="92">
        <v>4</v>
      </c>
      <c r="P245" s="93" t="s">
        <v>2055</v>
      </c>
      <c r="Q245" s="97" t="s">
        <v>626</v>
      </c>
      <c r="R245" s="92" t="s">
        <v>2047</v>
      </c>
      <c r="S245" s="92" t="s">
        <v>29</v>
      </c>
      <c r="T245" s="92" t="s">
        <v>29</v>
      </c>
      <c r="U245" s="115" t="s">
        <v>29</v>
      </c>
    </row>
    <row r="246" spans="1:21" ht="13.2" x14ac:dyDescent="0.25">
      <c r="A246" s="67" t="s">
        <v>29</v>
      </c>
      <c r="B246" s="84"/>
      <c r="C246" s="92" t="s">
        <v>29</v>
      </c>
      <c r="D246" s="93" t="s">
        <v>29</v>
      </c>
      <c r="E246" s="97" t="s">
        <v>29</v>
      </c>
      <c r="F246" s="92" t="s">
        <v>29</v>
      </c>
      <c r="G246" s="92" t="s">
        <v>29</v>
      </c>
      <c r="H246" s="92" t="s">
        <v>29</v>
      </c>
      <c r="I246" s="115" t="s">
        <v>29</v>
      </c>
      <c r="J246" s="89"/>
      <c r="K246" s="89"/>
      <c r="L246" s="89"/>
      <c r="M246" s="96" t="s">
        <v>921</v>
      </c>
      <c r="N246" s="84"/>
      <c r="O246" s="92">
        <v>5</v>
      </c>
      <c r="P246" s="93" t="s">
        <v>2056</v>
      </c>
      <c r="Q246" s="97" t="s">
        <v>624</v>
      </c>
      <c r="R246" s="92" t="s">
        <v>2047</v>
      </c>
      <c r="S246" s="92" t="s">
        <v>29</v>
      </c>
      <c r="T246" s="92" t="s">
        <v>29</v>
      </c>
      <c r="U246" s="115" t="s">
        <v>29</v>
      </c>
    </row>
    <row r="247" spans="1:21" ht="13.2" x14ac:dyDescent="0.25">
      <c r="A247" s="67" t="s">
        <v>29</v>
      </c>
      <c r="B247" s="84"/>
      <c r="C247" s="92" t="s">
        <v>29</v>
      </c>
      <c r="D247" s="93" t="s">
        <v>29</v>
      </c>
      <c r="E247" s="97" t="s">
        <v>29</v>
      </c>
      <c r="F247" s="92" t="s">
        <v>29</v>
      </c>
      <c r="G247" s="92" t="s">
        <v>29</v>
      </c>
      <c r="H247" s="92" t="s">
        <v>29</v>
      </c>
      <c r="I247" s="115" t="s">
        <v>29</v>
      </c>
      <c r="J247" s="89"/>
      <c r="K247" s="89"/>
      <c r="L247" s="89"/>
      <c r="M247" s="96" t="s">
        <v>29</v>
      </c>
      <c r="N247" s="84"/>
      <c r="O247" s="92" t="s">
        <v>29</v>
      </c>
      <c r="P247" s="93" t="s">
        <v>29</v>
      </c>
      <c r="Q247" s="97" t="s">
        <v>29</v>
      </c>
      <c r="R247" s="92" t="s">
        <v>29</v>
      </c>
      <c r="S247" s="92" t="s">
        <v>29</v>
      </c>
      <c r="T247" s="92" t="s">
        <v>29</v>
      </c>
      <c r="U247" s="115" t="s">
        <v>29</v>
      </c>
    </row>
    <row r="248" spans="1:21" ht="13.2" x14ac:dyDescent="0.25">
      <c r="A248" s="67" t="s">
        <v>29</v>
      </c>
      <c r="B248" s="84"/>
      <c r="C248" s="92" t="s">
        <v>29</v>
      </c>
      <c r="D248" s="93" t="s">
        <v>29</v>
      </c>
      <c r="E248" s="97" t="s">
        <v>29</v>
      </c>
      <c r="F248" s="92" t="s">
        <v>29</v>
      </c>
      <c r="G248" s="92" t="s">
        <v>29</v>
      </c>
      <c r="H248" s="92" t="s">
        <v>29</v>
      </c>
      <c r="I248" s="115" t="s">
        <v>29</v>
      </c>
      <c r="J248" s="89"/>
      <c r="K248" s="89"/>
      <c r="L248" s="89"/>
      <c r="M248" s="96" t="s">
        <v>29</v>
      </c>
      <c r="N248" s="84"/>
      <c r="O248" s="92" t="s">
        <v>29</v>
      </c>
      <c r="P248" s="93" t="s">
        <v>29</v>
      </c>
      <c r="Q248" s="97" t="s">
        <v>29</v>
      </c>
      <c r="R248" s="92" t="s">
        <v>29</v>
      </c>
      <c r="S248" s="92" t="s">
        <v>29</v>
      </c>
      <c r="T248" s="92" t="s">
        <v>29</v>
      </c>
      <c r="U248" s="115" t="s">
        <v>29</v>
      </c>
    </row>
    <row r="249" spans="1:21" ht="13.2" x14ac:dyDescent="0.25">
      <c r="A249" s="67" t="s">
        <v>29</v>
      </c>
      <c r="B249" s="84"/>
      <c r="C249" s="92" t="s">
        <v>29</v>
      </c>
      <c r="D249" s="98" t="s">
        <v>29</v>
      </c>
      <c r="E249" s="97" t="s">
        <v>29</v>
      </c>
      <c r="F249" s="92" t="s">
        <v>29</v>
      </c>
      <c r="G249" s="92" t="s">
        <v>29</v>
      </c>
      <c r="H249" s="92" t="s">
        <v>29</v>
      </c>
      <c r="I249" s="115" t="s">
        <v>29</v>
      </c>
      <c r="J249" s="89"/>
      <c r="K249" s="89"/>
      <c r="L249" s="89"/>
      <c r="M249" s="96" t="s">
        <v>29</v>
      </c>
      <c r="N249" s="84"/>
      <c r="O249" s="92" t="s">
        <v>29</v>
      </c>
      <c r="P249" s="93" t="s">
        <v>29</v>
      </c>
      <c r="Q249" s="97" t="s">
        <v>29</v>
      </c>
      <c r="R249" s="92" t="s">
        <v>29</v>
      </c>
      <c r="S249" s="92" t="s">
        <v>29</v>
      </c>
      <c r="T249" s="92" t="s">
        <v>29</v>
      </c>
      <c r="U249" s="115" t="s">
        <v>29</v>
      </c>
    </row>
    <row r="250" spans="1:21" ht="13.2" x14ac:dyDescent="0.25">
      <c r="A250" s="67" t="s">
        <v>29</v>
      </c>
      <c r="B250" s="84"/>
      <c r="C250" s="92" t="s">
        <v>29</v>
      </c>
      <c r="D250" s="98" t="s">
        <v>29</v>
      </c>
      <c r="E250" s="97" t="s">
        <v>29</v>
      </c>
      <c r="F250" s="92" t="s">
        <v>29</v>
      </c>
      <c r="G250" s="92" t="s">
        <v>29</v>
      </c>
      <c r="H250" s="92" t="s">
        <v>29</v>
      </c>
      <c r="I250" s="115" t="s">
        <v>29</v>
      </c>
      <c r="J250" s="89"/>
      <c r="K250" s="89"/>
      <c r="L250" s="89"/>
      <c r="M250" s="96" t="s">
        <v>29</v>
      </c>
      <c r="N250" s="84"/>
      <c r="O250" s="92" t="s">
        <v>29</v>
      </c>
      <c r="P250" s="93" t="s">
        <v>29</v>
      </c>
      <c r="Q250" s="97" t="s">
        <v>29</v>
      </c>
      <c r="R250" s="92" t="s">
        <v>29</v>
      </c>
      <c r="S250" s="92" t="s">
        <v>29</v>
      </c>
      <c r="T250" s="92" t="s">
        <v>29</v>
      </c>
      <c r="U250" s="115" t="s">
        <v>29</v>
      </c>
    </row>
    <row r="251" spans="1:21" ht="13.2" x14ac:dyDescent="0.25">
      <c r="A251" s="67" t="s">
        <v>29</v>
      </c>
      <c r="B251" s="84"/>
      <c r="C251" s="92" t="s">
        <v>29</v>
      </c>
      <c r="D251" s="98" t="s">
        <v>29</v>
      </c>
      <c r="E251" s="97" t="s">
        <v>29</v>
      </c>
      <c r="F251" s="92" t="s">
        <v>29</v>
      </c>
      <c r="G251" s="92" t="s">
        <v>29</v>
      </c>
      <c r="H251" s="92" t="s">
        <v>29</v>
      </c>
      <c r="I251" s="115" t="s">
        <v>29</v>
      </c>
      <c r="J251" s="89"/>
      <c r="K251" s="89"/>
      <c r="L251" s="89"/>
      <c r="M251" s="96" t="s">
        <v>29</v>
      </c>
      <c r="N251" s="84"/>
      <c r="O251" s="92" t="s">
        <v>29</v>
      </c>
      <c r="P251" s="93" t="s">
        <v>29</v>
      </c>
      <c r="Q251" s="97" t="s">
        <v>29</v>
      </c>
      <c r="R251" s="92" t="s">
        <v>29</v>
      </c>
      <c r="S251" s="92" t="s">
        <v>29</v>
      </c>
      <c r="T251" s="92" t="s">
        <v>29</v>
      </c>
      <c r="U251" s="115" t="s">
        <v>29</v>
      </c>
    </row>
    <row r="252" spans="1:21" ht="13.2" x14ac:dyDescent="0.25">
      <c r="A252" s="67" t="s">
        <v>29</v>
      </c>
      <c r="B252" s="84"/>
      <c r="C252" s="92" t="s">
        <v>29</v>
      </c>
      <c r="D252" s="98" t="s">
        <v>29</v>
      </c>
      <c r="E252" s="97" t="s">
        <v>29</v>
      </c>
      <c r="F252" s="92" t="s">
        <v>29</v>
      </c>
      <c r="G252" s="92" t="s">
        <v>29</v>
      </c>
      <c r="H252" s="92" t="s">
        <v>29</v>
      </c>
      <c r="I252" s="115" t="s">
        <v>29</v>
      </c>
      <c r="J252" s="89"/>
      <c r="K252" s="89"/>
      <c r="L252" s="89"/>
      <c r="M252" s="96" t="s">
        <v>29</v>
      </c>
      <c r="N252" s="84"/>
      <c r="O252" s="92" t="s">
        <v>29</v>
      </c>
      <c r="P252" s="93" t="s">
        <v>29</v>
      </c>
      <c r="Q252" s="97" t="s">
        <v>29</v>
      </c>
      <c r="R252" s="92" t="s">
        <v>29</v>
      </c>
      <c r="S252" s="92" t="s">
        <v>29</v>
      </c>
      <c r="T252" s="92" t="s">
        <v>29</v>
      </c>
      <c r="U252" s="115" t="s">
        <v>29</v>
      </c>
    </row>
    <row r="253" spans="1:21" ht="13.2" x14ac:dyDescent="0.25">
      <c r="A253" s="67" t="s">
        <v>29</v>
      </c>
      <c r="B253" s="84"/>
      <c r="C253" s="92" t="s">
        <v>29</v>
      </c>
      <c r="D253" s="98" t="s">
        <v>29</v>
      </c>
      <c r="E253" s="97" t="s">
        <v>29</v>
      </c>
      <c r="F253" s="92" t="s">
        <v>29</v>
      </c>
      <c r="G253" s="92" t="s">
        <v>29</v>
      </c>
      <c r="H253" s="92" t="s">
        <v>29</v>
      </c>
      <c r="I253" s="115" t="s">
        <v>29</v>
      </c>
      <c r="J253" s="89"/>
      <c r="K253" s="89"/>
      <c r="L253" s="89"/>
      <c r="M253" s="96" t="s">
        <v>29</v>
      </c>
      <c r="N253" s="84"/>
      <c r="O253" s="92" t="s">
        <v>29</v>
      </c>
      <c r="P253" s="98" t="s">
        <v>29</v>
      </c>
      <c r="Q253" s="97" t="s">
        <v>29</v>
      </c>
      <c r="R253" s="92" t="s">
        <v>29</v>
      </c>
      <c r="S253" s="92" t="s">
        <v>29</v>
      </c>
      <c r="T253" s="92" t="s">
        <v>29</v>
      </c>
      <c r="U253" s="115" t="s">
        <v>29</v>
      </c>
    </row>
    <row r="254" spans="1:21" ht="13.2" x14ac:dyDescent="0.25">
      <c r="A254" s="67" t="s">
        <v>29</v>
      </c>
      <c r="B254" s="84"/>
      <c r="C254" s="92" t="s">
        <v>29</v>
      </c>
      <c r="D254" s="98" t="s">
        <v>29</v>
      </c>
      <c r="E254" s="97" t="s">
        <v>29</v>
      </c>
      <c r="F254" s="92" t="s">
        <v>29</v>
      </c>
      <c r="G254" s="92" t="s">
        <v>29</v>
      </c>
      <c r="H254" s="92" t="s">
        <v>29</v>
      </c>
      <c r="I254" s="115" t="s">
        <v>29</v>
      </c>
      <c r="J254" s="89"/>
      <c r="K254" s="89"/>
      <c r="L254" s="89"/>
      <c r="M254" s="96" t="s">
        <v>29</v>
      </c>
      <c r="N254" s="84"/>
      <c r="O254" s="92" t="s">
        <v>29</v>
      </c>
      <c r="P254" s="98" t="s">
        <v>29</v>
      </c>
      <c r="Q254" s="97" t="s">
        <v>29</v>
      </c>
      <c r="R254" s="92" t="s">
        <v>29</v>
      </c>
      <c r="S254" s="92" t="s">
        <v>29</v>
      </c>
      <c r="T254" s="92" t="s">
        <v>29</v>
      </c>
      <c r="U254" s="115" t="s">
        <v>29</v>
      </c>
    </row>
    <row r="255" spans="1:21" ht="13.2" x14ac:dyDescent="0.25">
      <c r="A255" s="67" t="s">
        <v>29</v>
      </c>
      <c r="B255" s="84"/>
      <c r="C255" s="92" t="s">
        <v>29</v>
      </c>
      <c r="D255" s="98" t="s">
        <v>29</v>
      </c>
      <c r="E255" s="97" t="s">
        <v>29</v>
      </c>
      <c r="F255" s="92" t="s">
        <v>29</v>
      </c>
      <c r="G255" s="92" t="s">
        <v>29</v>
      </c>
      <c r="H255" s="92" t="s">
        <v>29</v>
      </c>
      <c r="I255" s="115" t="s">
        <v>29</v>
      </c>
      <c r="J255" s="89"/>
      <c r="K255" s="89"/>
      <c r="L255" s="89"/>
      <c r="M255" s="96" t="s">
        <v>29</v>
      </c>
      <c r="N255" s="84"/>
      <c r="O255" s="92" t="s">
        <v>29</v>
      </c>
      <c r="P255" s="98" t="s">
        <v>29</v>
      </c>
      <c r="Q255" s="97" t="s">
        <v>29</v>
      </c>
      <c r="R255" s="92" t="s">
        <v>29</v>
      </c>
      <c r="S255" s="92" t="s">
        <v>29</v>
      </c>
      <c r="T255" s="92" t="s">
        <v>29</v>
      </c>
      <c r="U255" s="115" t="s">
        <v>29</v>
      </c>
    </row>
    <row r="256" spans="1:21" ht="13.2" x14ac:dyDescent="0.25">
      <c r="A256" s="67" t="s">
        <v>29</v>
      </c>
      <c r="B256" s="84"/>
      <c r="C256" s="92" t="s">
        <v>29</v>
      </c>
      <c r="D256" s="98" t="s">
        <v>29</v>
      </c>
      <c r="E256" s="97" t="s">
        <v>29</v>
      </c>
      <c r="F256" s="92" t="s">
        <v>29</v>
      </c>
      <c r="G256" s="92" t="s">
        <v>29</v>
      </c>
      <c r="H256" s="92" t="s">
        <v>29</v>
      </c>
      <c r="I256" s="115" t="s">
        <v>29</v>
      </c>
      <c r="J256" s="89"/>
      <c r="K256" s="89"/>
      <c r="L256" s="89"/>
      <c r="M256" s="96" t="s">
        <v>29</v>
      </c>
      <c r="N256" s="84"/>
      <c r="O256" s="92" t="s">
        <v>29</v>
      </c>
      <c r="P256" s="98" t="s">
        <v>29</v>
      </c>
      <c r="Q256" s="97" t="s">
        <v>29</v>
      </c>
      <c r="R256" s="92" t="s">
        <v>29</v>
      </c>
      <c r="S256" s="92" t="s">
        <v>29</v>
      </c>
      <c r="T256" s="92" t="s">
        <v>29</v>
      </c>
      <c r="U256" s="115" t="s">
        <v>29</v>
      </c>
    </row>
    <row r="257" spans="1:21" ht="13.2" x14ac:dyDescent="0.25">
      <c r="A257" s="67" t="s">
        <v>29</v>
      </c>
      <c r="B257" s="84"/>
      <c r="C257" s="92" t="s">
        <v>29</v>
      </c>
      <c r="D257" s="98" t="s">
        <v>29</v>
      </c>
      <c r="E257" s="97" t="s">
        <v>29</v>
      </c>
      <c r="F257" s="92" t="s">
        <v>29</v>
      </c>
      <c r="G257" s="92" t="s">
        <v>29</v>
      </c>
      <c r="H257" s="92" t="s">
        <v>29</v>
      </c>
      <c r="I257" s="115" t="s">
        <v>29</v>
      </c>
      <c r="J257" s="89"/>
      <c r="K257" s="89"/>
      <c r="L257" s="89"/>
      <c r="M257" s="96" t="s">
        <v>29</v>
      </c>
      <c r="N257" s="84"/>
      <c r="O257" s="92" t="s">
        <v>29</v>
      </c>
      <c r="P257" s="98" t="s">
        <v>29</v>
      </c>
      <c r="Q257" s="97" t="s">
        <v>29</v>
      </c>
      <c r="R257" s="92" t="s">
        <v>29</v>
      </c>
      <c r="S257" s="92" t="s">
        <v>29</v>
      </c>
      <c r="T257" s="92" t="s">
        <v>29</v>
      </c>
      <c r="U257" s="115" t="s">
        <v>29</v>
      </c>
    </row>
    <row r="258" spans="1:21" ht="13.2" x14ac:dyDescent="0.25">
      <c r="A258" s="67" t="s">
        <v>29</v>
      </c>
      <c r="B258" s="84"/>
      <c r="C258" s="92" t="s">
        <v>29</v>
      </c>
      <c r="D258" s="98" t="s">
        <v>29</v>
      </c>
      <c r="E258" s="97" t="s">
        <v>29</v>
      </c>
      <c r="F258" s="92" t="s">
        <v>29</v>
      </c>
      <c r="G258" s="92" t="s">
        <v>29</v>
      </c>
      <c r="H258" s="92" t="s">
        <v>29</v>
      </c>
      <c r="I258" s="115" t="s">
        <v>29</v>
      </c>
      <c r="J258" s="89"/>
      <c r="K258" s="89"/>
      <c r="L258" s="89"/>
      <c r="M258" s="96" t="s">
        <v>29</v>
      </c>
      <c r="N258" s="84"/>
      <c r="O258" s="92" t="s">
        <v>29</v>
      </c>
      <c r="P258" s="98" t="s">
        <v>29</v>
      </c>
      <c r="Q258" s="97" t="s">
        <v>29</v>
      </c>
      <c r="R258" s="92" t="s">
        <v>29</v>
      </c>
      <c r="S258" s="92" t="s">
        <v>29</v>
      </c>
      <c r="T258" s="92" t="s">
        <v>29</v>
      </c>
      <c r="U258" s="115" t="s">
        <v>29</v>
      </c>
    </row>
    <row r="259" spans="1:21" ht="13.2" x14ac:dyDescent="0.25">
      <c r="A259" s="67" t="s">
        <v>29</v>
      </c>
      <c r="B259" s="84"/>
      <c r="C259" s="92" t="s">
        <v>29</v>
      </c>
      <c r="D259" s="98" t="s">
        <v>29</v>
      </c>
      <c r="E259" s="97" t="s">
        <v>29</v>
      </c>
      <c r="F259" s="92" t="s">
        <v>29</v>
      </c>
      <c r="G259" s="92" t="s">
        <v>29</v>
      </c>
      <c r="H259" s="92" t="s">
        <v>29</v>
      </c>
      <c r="I259" s="115" t="s">
        <v>29</v>
      </c>
      <c r="J259" s="89"/>
      <c r="K259" s="89"/>
      <c r="L259" s="89"/>
      <c r="M259" s="96" t="s">
        <v>29</v>
      </c>
      <c r="N259" s="84"/>
      <c r="O259" s="92" t="s">
        <v>29</v>
      </c>
      <c r="P259" s="98" t="s">
        <v>29</v>
      </c>
      <c r="Q259" s="97" t="s">
        <v>29</v>
      </c>
      <c r="R259" s="92" t="s">
        <v>29</v>
      </c>
      <c r="S259" s="92" t="s">
        <v>29</v>
      </c>
      <c r="T259" s="92" t="s">
        <v>29</v>
      </c>
      <c r="U259" s="115" t="s">
        <v>29</v>
      </c>
    </row>
    <row r="260" spans="1:21" ht="13.2" x14ac:dyDescent="0.25">
      <c r="A260" s="67" t="s">
        <v>29</v>
      </c>
      <c r="B260" s="84"/>
      <c r="C260" s="92" t="s">
        <v>29</v>
      </c>
      <c r="D260" s="98" t="s">
        <v>29</v>
      </c>
      <c r="E260" s="97" t="s">
        <v>29</v>
      </c>
      <c r="F260" s="92" t="s">
        <v>29</v>
      </c>
      <c r="G260" s="92" t="s">
        <v>29</v>
      </c>
      <c r="H260" s="92" t="s">
        <v>29</v>
      </c>
      <c r="I260" s="115" t="s">
        <v>29</v>
      </c>
      <c r="J260" s="89"/>
      <c r="K260" s="89"/>
      <c r="L260" s="89"/>
      <c r="M260" s="96" t="s">
        <v>29</v>
      </c>
      <c r="N260" s="84"/>
      <c r="O260" s="92" t="s">
        <v>29</v>
      </c>
      <c r="P260" s="98" t="s">
        <v>29</v>
      </c>
      <c r="Q260" s="97" t="s">
        <v>29</v>
      </c>
      <c r="R260" s="92" t="s">
        <v>29</v>
      </c>
      <c r="S260" s="92" t="s">
        <v>29</v>
      </c>
      <c r="T260" s="92" t="s">
        <v>29</v>
      </c>
      <c r="U260" s="115" t="s">
        <v>29</v>
      </c>
    </row>
    <row r="261" spans="1:21" ht="13.2" x14ac:dyDescent="0.25">
      <c r="A261" s="67" t="s">
        <v>29</v>
      </c>
      <c r="B261" s="84"/>
      <c r="C261" s="92" t="s">
        <v>29</v>
      </c>
      <c r="D261" s="98" t="s">
        <v>29</v>
      </c>
      <c r="E261" s="97" t="s">
        <v>29</v>
      </c>
      <c r="F261" s="92" t="s">
        <v>29</v>
      </c>
      <c r="G261" s="92" t="s">
        <v>29</v>
      </c>
      <c r="H261" s="92" t="s">
        <v>29</v>
      </c>
      <c r="I261" s="115" t="s">
        <v>29</v>
      </c>
      <c r="J261" s="89"/>
      <c r="K261" s="89"/>
      <c r="L261" s="89"/>
      <c r="M261" s="96" t="s">
        <v>29</v>
      </c>
      <c r="N261" s="84"/>
      <c r="O261" s="92" t="s">
        <v>29</v>
      </c>
      <c r="P261" s="98" t="s">
        <v>29</v>
      </c>
      <c r="Q261" s="97" t="s">
        <v>29</v>
      </c>
      <c r="R261" s="92" t="s">
        <v>29</v>
      </c>
      <c r="S261" s="92" t="s">
        <v>29</v>
      </c>
      <c r="T261" s="92" t="s">
        <v>29</v>
      </c>
      <c r="U261" s="115" t="s">
        <v>29</v>
      </c>
    </row>
    <row r="262" spans="1:21" ht="13.2" x14ac:dyDescent="0.25">
      <c r="A262" s="67" t="s">
        <v>29</v>
      </c>
      <c r="B262" s="84"/>
      <c r="C262" s="92" t="s">
        <v>29</v>
      </c>
      <c r="D262" s="98" t="s">
        <v>29</v>
      </c>
      <c r="E262" s="97" t="s">
        <v>29</v>
      </c>
      <c r="F262" s="92" t="s">
        <v>29</v>
      </c>
      <c r="G262" s="92" t="s">
        <v>29</v>
      </c>
      <c r="H262" s="92" t="s">
        <v>29</v>
      </c>
      <c r="I262" s="115" t="s">
        <v>29</v>
      </c>
      <c r="J262" s="89"/>
      <c r="K262" s="89"/>
      <c r="L262" s="89"/>
      <c r="M262" s="96" t="s">
        <v>29</v>
      </c>
      <c r="N262" s="84"/>
      <c r="O262" s="92" t="s">
        <v>29</v>
      </c>
      <c r="P262" s="98" t="s">
        <v>29</v>
      </c>
      <c r="Q262" s="97" t="s">
        <v>29</v>
      </c>
      <c r="R262" s="92" t="s">
        <v>29</v>
      </c>
      <c r="S262" s="92" t="s">
        <v>29</v>
      </c>
      <c r="T262" s="92" t="s">
        <v>29</v>
      </c>
      <c r="U262" s="115" t="s">
        <v>29</v>
      </c>
    </row>
    <row r="263" spans="1:21" ht="13.2" x14ac:dyDescent="0.25">
      <c r="A263" s="67" t="s">
        <v>29</v>
      </c>
      <c r="B263" s="84"/>
      <c r="C263" s="92" t="s">
        <v>29</v>
      </c>
      <c r="D263" s="98" t="s">
        <v>29</v>
      </c>
      <c r="E263" s="97" t="s">
        <v>29</v>
      </c>
      <c r="F263" s="92" t="s">
        <v>29</v>
      </c>
      <c r="G263" s="92" t="s">
        <v>29</v>
      </c>
      <c r="H263" s="92" t="s">
        <v>29</v>
      </c>
      <c r="I263" s="115" t="s">
        <v>29</v>
      </c>
      <c r="J263" s="89"/>
      <c r="K263" s="89"/>
      <c r="L263" s="89"/>
      <c r="M263" s="96" t="s">
        <v>29</v>
      </c>
      <c r="N263" s="84"/>
      <c r="O263" s="92" t="s">
        <v>29</v>
      </c>
      <c r="P263" s="98" t="s">
        <v>29</v>
      </c>
      <c r="Q263" s="97" t="s">
        <v>29</v>
      </c>
      <c r="R263" s="92" t="s">
        <v>29</v>
      </c>
      <c r="S263" s="92" t="s">
        <v>29</v>
      </c>
      <c r="T263" s="92" t="s">
        <v>29</v>
      </c>
      <c r="U263" s="115" t="s">
        <v>29</v>
      </c>
    </row>
    <row r="264" spans="1:21" ht="13.2" x14ac:dyDescent="0.25">
      <c r="A264" s="67" t="s">
        <v>29</v>
      </c>
      <c r="B264" s="84"/>
      <c r="C264" s="92" t="s">
        <v>29</v>
      </c>
      <c r="D264" s="98" t="s">
        <v>29</v>
      </c>
      <c r="E264" s="97" t="s">
        <v>29</v>
      </c>
      <c r="F264" s="92" t="s">
        <v>29</v>
      </c>
      <c r="G264" s="92" t="s">
        <v>29</v>
      </c>
      <c r="H264" s="92" t="s">
        <v>29</v>
      </c>
      <c r="I264" s="115" t="s">
        <v>29</v>
      </c>
      <c r="J264" s="89"/>
      <c r="K264" s="89"/>
      <c r="L264" s="89"/>
      <c r="M264" s="96" t="s">
        <v>29</v>
      </c>
      <c r="N264" s="84"/>
      <c r="O264" s="92" t="s">
        <v>29</v>
      </c>
      <c r="P264" s="98" t="s">
        <v>29</v>
      </c>
      <c r="Q264" s="97" t="s">
        <v>29</v>
      </c>
      <c r="R264" s="92" t="s">
        <v>29</v>
      </c>
      <c r="S264" s="92" t="s">
        <v>29</v>
      </c>
      <c r="T264" s="92" t="s">
        <v>29</v>
      </c>
      <c r="U264" s="115" t="s">
        <v>29</v>
      </c>
    </row>
    <row r="265" spans="1:21" ht="13.2" x14ac:dyDescent="0.25">
      <c r="A265" s="67" t="s">
        <v>29</v>
      </c>
      <c r="B265" s="84"/>
      <c r="C265" s="92" t="s">
        <v>29</v>
      </c>
      <c r="D265" s="98" t="s">
        <v>29</v>
      </c>
      <c r="E265" s="97" t="s">
        <v>29</v>
      </c>
      <c r="F265" s="92" t="s">
        <v>29</v>
      </c>
      <c r="G265" s="92" t="s">
        <v>29</v>
      </c>
      <c r="H265" s="92" t="s">
        <v>29</v>
      </c>
      <c r="I265" s="115" t="s">
        <v>29</v>
      </c>
      <c r="J265" s="89"/>
      <c r="K265" s="89"/>
      <c r="L265" s="89"/>
      <c r="M265" s="96" t="s">
        <v>29</v>
      </c>
      <c r="N265" s="84"/>
      <c r="O265" s="92" t="s">
        <v>29</v>
      </c>
      <c r="P265" s="98" t="s">
        <v>29</v>
      </c>
      <c r="Q265" s="97" t="s">
        <v>29</v>
      </c>
      <c r="R265" s="92" t="s">
        <v>29</v>
      </c>
      <c r="S265" s="92" t="s">
        <v>29</v>
      </c>
      <c r="T265" s="92" t="s">
        <v>29</v>
      </c>
      <c r="U265" s="115" t="s">
        <v>29</v>
      </c>
    </row>
    <row r="266" spans="1:21" ht="13.2" x14ac:dyDescent="0.25">
      <c r="A266" s="67" t="s">
        <v>29</v>
      </c>
      <c r="B266" s="84"/>
      <c r="C266" s="92" t="s">
        <v>29</v>
      </c>
      <c r="D266" s="98" t="s">
        <v>29</v>
      </c>
      <c r="E266" s="97" t="s">
        <v>29</v>
      </c>
      <c r="F266" s="92" t="s">
        <v>29</v>
      </c>
      <c r="G266" s="92" t="s">
        <v>29</v>
      </c>
      <c r="H266" s="92" t="s">
        <v>29</v>
      </c>
      <c r="I266" s="115" t="s">
        <v>29</v>
      </c>
      <c r="J266" s="89"/>
      <c r="K266" s="89"/>
      <c r="L266" s="89"/>
      <c r="M266" s="96" t="s">
        <v>29</v>
      </c>
      <c r="N266" s="84"/>
      <c r="O266" s="92" t="s">
        <v>29</v>
      </c>
      <c r="P266" s="98" t="s">
        <v>29</v>
      </c>
      <c r="Q266" s="97" t="s">
        <v>29</v>
      </c>
      <c r="R266" s="92" t="s">
        <v>29</v>
      </c>
      <c r="S266" s="92" t="s">
        <v>29</v>
      </c>
      <c r="T266" s="92" t="s">
        <v>29</v>
      </c>
      <c r="U266" s="115" t="s">
        <v>29</v>
      </c>
    </row>
    <row r="267" spans="1:21" ht="13.2" x14ac:dyDescent="0.25">
      <c r="A267" s="67" t="s">
        <v>29</v>
      </c>
      <c r="B267" s="84"/>
      <c r="C267" s="219" t="s">
        <v>954</v>
      </c>
      <c r="D267" s="220"/>
      <c r="E267" s="220"/>
      <c r="F267" s="220"/>
      <c r="G267" s="99">
        <v>9</v>
      </c>
      <c r="H267" s="99">
        <v>0</v>
      </c>
      <c r="I267" s="115" t="s">
        <v>29</v>
      </c>
      <c r="J267" s="89"/>
      <c r="K267" s="89"/>
      <c r="L267" s="89"/>
      <c r="M267" s="96" t="s">
        <v>29</v>
      </c>
      <c r="N267" s="84"/>
      <c r="O267" s="219" t="s">
        <v>955</v>
      </c>
      <c r="P267" s="220"/>
      <c r="Q267" s="220"/>
      <c r="R267" s="220"/>
      <c r="S267" s="99">
        <v>9</v>
      </c>
      <c r="T267" s="99">
        <v>0</v>
      </c>
      <c r="U267" s="115" t="s">
        <v>29</v>
      </c>
    </row>
    <row r="268" spans="1:21" ht="13.2" x14ac:dyDescent="0.25">
      <c r="A268" s="67" t="s">
        <v>29</v>
      </c>
      <c r="B268" s="89"/>
      <c r="C268" s="89"/>
      <c r="D268" s="89"/>
      <c r="E268" s="89"/>
      <c r="F268" s="89"/>
      <c r="G268" s="89"/>
      <c r="H268" s="89"/>
      <c r="I268" s="89" t="s">
        <v>29</v>
      </c>
      <c r="J268" s="89"/>
      <c r="K268" s="89"/>
      <c r="L268" s="89"/>
      <c r="M268" s="96" t="s">
        <v>29</v>
      </c>
      <c r="N268" s="89"/>
      <c r="O268" s="89"/>
      <c r="P268" s="89"/>
      <c r="Q268" s="89"/>
      <c r="R268" s="89"/>
      <c r="S268" s="89"/>
      <c r="T268" s="89"/>
      <c r="U268" s="89" t="s">
        <v>29</v>
      </c>
    </row>
    <row r="269" spans="1:21" ht="13.2" x14ac:dyDescent="0.25">
      <c r="A269" s="67" t="s">
        <v>29</v>
      </c>
      <c r="B269" s="101"/>
      <c r="C269" s="101"/>
      <c r="D269" s="101"/>
      <c r="E269" s="101"/>
      <c r="F269" s="101"/>
      <c r="G269" s="101"/>
      <c r="H269" s="101"/>
      <c r="I269" s="101" t="s">
        <v>29</v>
      </c>
      <c r="J269" s="89"/>
      <c r="K269" s="89"/>
      <c r="L269" s="89"/>
      <c r="M269" s="96" t="s">
        <v>29</v>
      </c>
      <c r="N269" s="101"/>
      <c r="O269" s="101"/>
      <c r="P269" s="101"/>
      <c r="Q269" s="101"/>
      <c r="R269" s="101"/>
      <c r="S269" s="101"/>
      <c r="T269" s="101"/>
      <c r="U269" s="101" t="s">
        <v>29</v>
      </c>
    </row>
    <row r="270" spans="1:21" ht="13.2" x14ac:dyDescent="0.25">
      <c r="A270" s="67" t="s">
        <v>923</v>
      </c>
      <c r="B270" s="103"/>
      <c r="C270" s="104" t="s">
        <v>936</v>
      </c>
      <c r="D270" s="105" t="s">
        <v>924</v>
      </c>
      <c r="E270" s="106" t="s">
        <v>2</v>
      </c>
      <c r="F270" s="106" t="s">
        <v>937</v>
      </c>
      <c r="G270" s="106" t="s">
        <v>917</v>
      </c>
      <c r="H270" s="106" t="s">
        <v>918</v>
      </c>
      <c r="I270" s="116" t="s">
        <v>29</v>
      </c>
      <c r="J270" s="89"/>
      <c r="K270" s="89"/>
      <c r="L270" s="89"/>
      <c r="M270" s="90" t="s">
        <v>925</v>
      </c>
      <c r="N270" s="116"/>
      <c r="O270" s="104" t="s">
        <v>936</v>
      </c>
      <c r="P270" s="105" t="s">
        <v>926</v>
      </c>
      <c r="Q270" s="106" t="s">
        <v>2</v>
      </c>
      <c r="R270" s="106" t="s">
        <v>937</v>
      </c>
      <c r="S270" s="106" t="s">
        <v>917</v>
      </c>
      <c r="T270" s="106" t="s">
        <v>918</v>
      </c>
      <c r="U270" s="116" t="s">
        <v>29</v>
      </c>
    </row>
    <row r="271" spans="1:21" ht="13.2" x14ac:dyDescent="0.25">
      <c r="A271" s="67" t="s">
        <v>923</v>
      </c>
      <c r="B271" s="108"/>
      <c r="C271" s="92">
        <v>1</v>
      </c>
      <c r="D271" s="93" t="s">
        <v>2057</v>
      </c>
      <c r="E271" s="94" t="s">
        <v>419</v>
      </c>
      <c r="F271" s="92" t="s">
        <v>2048</v>
      </c>
      <c r="G271" s="92" t="s">
        <v>29</v>
      </c>
      <c r="H271" s="92">
        <v>5</v>
      </c>
      <c r="I271" s="116" t="s">
        <v>29</v>
      </c>
      <c r="J271" s="89"/>
      <c r="K271" s="89"/>
      <c r="L271" s="89"/>
      <c r="M271" s="96" t="s">
        <v>925</v>
      </c>
      <c r="N271" s="108"/>
      <c r="O271" s="92">
        <v>1</v>
      </c>
      <c r="P271" s="93" t="s">
        <v>2058</v>
      </c>
      <c r="Q271" s="94" t="s">
        <v>631</v>
      </c>
      <c r="R271" s="92" t="s">
        <v>2047</v>
      </c>
      <c r="S271" s="92">
        <v>5</v>
      </c>
      <c r="T271" s="92" t="s">
        <v>29</v>
      </c>
      <c r="U271" s="116" t="s">
        <v>29</v>
      </c>
    </row>
    <row r="272" spans="1:21" ht="13.2" x14ac:dyDescent="0.25">
      <c r="A272" s="67" t="s">
        <v>29</v>
      </c>
      <c r="B272" s="108"/>
      <c r="C272" s="92" t="s">
        <v>29</v>
      </c>
      <c r="D272" s="93" t="s">
        <v>29</v>
      </c>
      <c r="E272" s="97" t="s">
        <v>29</v>
      </c>
      <c r="F272" s="92" t="s">
        <v>29</v>
      </c>
      <c r="G272" s="92" t="s">
        <v>29</v>
      </c>
      <c r="H272" s="92" t="s">
        <v>29</v>
      </c>
      <c r="I272" s="116" t="s">
        <v>29</v>
      </c>
      <c r="J272" s="89"/>
      <c r="K272" s="89"/>
      <c r="L272" s="89"/>
      <c r="M272" s="96" t="s">
        <v>925</v>
      </c>
      <c r="N272" s="108"/>
      <c r="O272" s="92">
        <v>2</v>
      </c>
      <c r="P272" s="93" t="s">
        <v>2059</v>
      </c>
      <c r="Q272" s="97" t="s">
        <v>630</v>
      </c>
      <c r="R272" s="92" t="s">
        <v>2047</v>
      </c>
      <c r="S272" s="92">
        <v>3</v>
      </c>
      <c r="T272" s="92" t="s">
        <v>29</v>
      </c>
      <c r="U272" s="116" t="s">
        <v>29</v>
      </c>
    </row>
    <row r="273" spans="1:21" ht="13.2" x14ac:dyDescent="0.25">
      <c r="A273" s="67" t="s">
        <v>29</v>
      </c>
      <c r="B273" s="108"/>
      <c r="C273" s="92" t="s">
        <v>29</v>
      </c>
      <c r="D273" s="93" t="s">
        <v>29</v>
      </c>
      <c r="E273" s="97" t="s">
        <v>29</v>
      </c>
      <c r="F273" s="92" t="s">
        <v>29</v>
      </c>
      <c r="G273" s="92" t="s">
        <v>29</v>
      </c>
      <c r="H273" s="92" t="s">
        <v>29</v>
      </c>
      <c r="I273" s="116" t="s">
        <v>29</v>
      </c>
      <c r="J273" s="89"/>
      <c r="K273" s="89"/>
      <c r="L273" s="89"/>
      <c r="M273" s="96" t="s">
        <v>29</v>
      </c>
      <c r="N273" s="108"/>
      <c r="O273" s="92" t="s">
        <v>29</v>
      </c>
      <c r="P273" s="93" t="s">
        <v>29</v>
      </c>
      <c r="Q273" s="97" t="s">
        <v>29</v>
      </c>
      <c r="R273" s="92" t="s">
        <v>29</v>
      </c>
      <c r="S273" s="92" t="s">
        <v>29</v>
      </c>
      <c r="T273" s="92" t="s">
        <v>29</v>
      </c>
      <c r="U273" s="116" t="s">
        <v>29</v>
      </c>
    </row>
    <row r="274" spans="1:21" ht="13.2" x14ac:dyDescent="0.25">
      <c r="A274" s="67" t="s">
        <v>29</v>
      </c>
      <c r="B274" s="108"/>
      <c r="C274" s="92" t="s">
        <v>29</v>
      </c>
      <c r="D274" s="93" t="s">
        <v>29</v>
      </c>
      <c r="E274" s="97" t="s">
        <v>29</v>
      </c>
      <c r="F274" s="92" t="s">
        <v>29</v>
      </c>
      <c r="G274" s="92" t="s">
        <v>29</v>
      </c>
      <c r="H274" s="92" t="s">
        <v>29</v>
      </c>
      <c r="I274" s="116" t="s">
        <v>29</v>
      </c>
      <c r="J274" s="89"/>
      <c r="K274" s="89"/>
      <c r="L274" s="89"/>
      <c r="M274" s="96" t="s">
        <v>29</v>
      </c>
      <c r="N274" s="108"/>
      <c r="O274" s="92" t="s">
        <v>29</v>
      </c>
      <c r="P274" s="93" t="s">
        <v>29</v>
      </c>
      <c r="Q274" s="97" t="s">
        <v>29</v>
      </c>
      <c r="R274" s="92" t="s">
        <v>29</v>
      </c>
      <c r="S274" s="92" t="s">
        <v>29</v>
      </c>
      <c r="T274" s="92" t="s">
        <v>29</v>
      </c>
      <c r="U274" s="116" t="s">
        <v>29</v>
      </c>
    </row>
    <row r="275" spans="1:21" ht="13.2" x14ac:dyDescent="0.25">
      <c r="A275" s="67" t="s">
        <v>29</v>
      </c>
      <c r="B275" s="108"/>
      <c r="C275" s="92" t="s">
        <v>29</v>
      </c>
      <c r="D275" s="93" t="s">
        <v>29</v>
      </c>
      <c r="E275" s="97" t="s">
        <v>29</v>
      </c>
      <c r="F275" s="92" t="s">
        <v>29</v>
      </c>
      <c r="G275" s="92" t="s">
        <v>29</v>
      </c>
      <c r="H275" s="92" t="s">
        <v>29</v>
      </c>
      <c r="I275" s="116" t="s">
        <v>29</v>
      </c>
      <c r="J275" s="89"/>
      <c r="K275" s="89"/>
      <c r="L275" s="89"/>
      <c r="M275" s="96" t="s">
        <v>29</v>
      </c>
      <c r="N275" s="108"/>
      <c r="O275" s="92" t="s">
        <v>29</v>
      </c>
      <c r="P275" s="93" t="s">
        <v>29</v>
      </c>
      <c r="Q275" s="97" t="s">
        <v>29</v>
      </c>
      <c r="R275" s="92" t="s">
        <v>29</v>
      </c>
      <c r="S275" s="92" t="s">
        <v>29</v>
      </c>
      <c r="T275" s="92" t="s">
        <v>29</v>
      </c>
      <c r="U275" s="116" t="s">
        <v>29</v>
      </c>
    </row>
    <row r="276" spans="1:21" ht="13.2" x14ac:dyDescent="0.25">
      <c r="A276" s="67" t="s">
        <v>29</v>
      </c>
      <c r="B276" s="108"/>
      <c r="C276" s="92" t="s">
        <v>29</v>
      </c>
      <c r="D276" s="93" t="s">
        <v>29</v>
      </c>
      <c r="E276" s="97" t="s">
        <v>29</v>
      </c>
      <c r="F276" s="92" t="s">
        <v>29</v>
      </c>
      <c r="G276" s="92" t="s">
        <v>29</v>
      </c>
      <c r="H276" s="92" t="s">
        <v>29</v>
      </c>
      <c r="I276" s="116" t="s">
        <v>29</v>
      </c>
      <c r="J276" s="89"/>
      <c r="K276" s="89"/>
      <c r="L276" s="89"/>
      <c r="M276" s="96" t="s">
        <v>29</v>
      </c>
      <c r="N276" s="108"/>
      <c r="O276" s="92" t="s">
        <v>29</v>
      </c>
      <c r="P276" s="93" t="s">
        <v>29</v>
      </c>
      <c r="Q276" s="97" t="s">
        <v>29</v>
      </c>
      <c r="R276" s="92" t="s">
        <v>29</v>
      </c>
      <c r="S276" s="92" t="s">
        <v>29</v>
      </c>
      <c r="T276" s="92" t="s">
        <v>29</v>
      </c>
      <c r="U276" s="116" t="s">
        <v>29</v>
      </c>
    </row>
    <row r="277" spans="1:21" ht="13.2" x14ac:dyDescent="0.25">
      <c r="A277" s="67" t="s">
        <v>29</v>
      </c>
      <c r="B277" s="108"/>
      <c r="C277" s="92" t="s">
        <v>29</v>
      </c>
      <c r="D277" s="93" t="s">
        <v>29</v>
      </c>
      <c r="E277" s="97" t="s">
        <v>29</v>
      </c>
      <c r="F277" s="92" t="s">
        <v>29</v>
      </c>
      <c r="G277" s="92" t="s">
        <v>29</v>
      </c>
      <c r="H277" s="92" t="s">
        <v>29</v>
      </c>
      <c r="I277" s="116" t="s">
        <v>29</v>
      </c>
      <c r="J277" s="89"/>
      <c r="K277" s="89"/>
      <c r="L277" s="89"/>
      <c r="M277" s="96" t="s">
        <v>29</v>
      </c>
      <c r="N277" s="108"/>
      <c r="O277" s="92" t="s">
        <v>29</v>
      </c>
      <c r="P277" s="93" t="s">
        <v>29</v>
      </c>
      <c r="Q277" s="97" t="s">
        <v>29</v>
      </c>
      <c r="R277" s="92" t="s">
        <v>29</v>
      </c>
      <c r="S277" s="92" t="s">
        <v>29</v>
      </c>
      <c r="T277" s="92" t="s">
        <v>29</v>
      </c>
      <c r="U277" s="116" t="s">
        <v>29</v>
      </c>
    </row>
    <row r="278" spans="1:21" ht="13.2" x14ac:dyDescent="0.25">
      <c r="A278" s="67" t="s">
        <v>29</v>
      </c>
      <c r="B278" s="108"/>
      <c r="C278" s="92" t="s">
        <v>29</v>
      </c>
      <c r="D278" s="93" t="s">
        <v>29</v>
      </c>
      <c r="E278" s="97" t="s">
        <v>29</v>
      </c>
      <c r="F278" s="92" t="s">
        <v>29</v>
      </c>
      <c r="G278" s="92" t="s">
        <v>29</v>
      </c>
      <c r="H278" s="92" t="s">
        <v>29</v>
      </c>
      <c r="I278" s="116" t="s">
        <v>29</v>
      </c>
      <c r="J278" s="89"/>
      <c r="K278" s="89"/>
      <c r="L278" s="89"/>
      <c r="M278" s="96" t="s">
        <v>29</v>
      </c>
      <c r="N278" s="108"/>
      <c r="O278" s="92" t="s">
        <v>29</v>
      </c>
      <c r="P278" s="93" t="s">
        <v>29</v>
      </c>
      <c r="Q278" s="97" t="s">
        <v>29</v>
      </c>
      <c r="R278" s="92" t="s">
        <v>29</v>
      </c>
      <c r="S278" s="92" t="s">
        <v>29</v>
      </c>
      <c r="T278" s="92" t="s">
        <v>29</v>
      </c>
      <c r="U278" s="116" t="s">
        <v>29</v>
      </c>
    </row>
    <row r="279" spans="1:21" ht="13.2" x14ac:dyDescent="0.25">
      <c r="A279" s="67" t="s">
        <v>29</v>
      </c>
      <c r="B279" s="108"/>
      <c r="C279" s="92" t="s">
        <v>29</v>
      </c>
      <c r="D279" s="93" t="s">
        <v>29</v>
      </c>
      <c r="E279" s="97" t="s">
        <v>29</v>
      </c>
      <c r="F279" s="92" t="s">
        <v>29</v>
      </c>
      <c r="G279" s="92" t="s">
        <v>29</v>
      </c>
      <c r="H279" s="92" t="s">
        <v>29</v>
      </c>
      <c r="I279" s="116" t="s">
        <v>29</v>
      </c>
      <c r="J279" s="89"/>
      <c r="K279" s="89"/>
      <c r="L279" s="89"/>
      <c r="M279" s="96" t="s">
        <v>29</v>
      </c>
      <c r="N279" s="108"/>
      <c r="O279" s="92" t="s">
        <v>29</v>
      </c>
      <c r="P279" s="93" t="s">
        <v>29</v>
      </c>
      <c r="Q279" s="97" t="s">
        <v>29</v>
      </c>
      <c r="R279" s="92" t="s">
        <v>29</v>
      </c>
      <c r="S279" s="92" t="s">
        <v>29</v>
      </c>
      <c r="T279" s="92" t="s">
        <v>29</v>
      </c>
      <c r="U279" s="116" t="s">
        <v>29</v>
      </c>
    </row>
    <row r="280" spans="1:21" ht="13.2" x14ac:dyDescent="0.25">
      <c r="A280" s="67" t="s">
        <v>29</v>
      </c>
      <c r="B280" s="108"/>
      <c r="C280" s="92" t="s">
        <v>29</v>
      </c>
      <c r="D280" s="98" t="s">
        <v>29</v>
      </c>
      <c r="E280" s="97" t="s">
        <v>29</v>
      </c>
      <c r="F280" s="92" t="s">
        <v>29</v>
      </c>
      <c r="G280" s="92" t="s">
        <v>29</v>
      </c>
      <c r="H280" s="92" t="s">
        <v>29</v>
      </c>
      <c r="I280" s="116" t="s">
        <v>29</v>
      </c>
      <c r="J280" s="89"/>
      <c r="K280" s="89"/>
      <c r="L280" s="89"/>
      <c r="M280" s="96" t="s">
        <v>29</v>
      </c>
      <c r="N280" s="108"/>
      <c r="O280" s="92" t="s">
        <v>29</v>
      </c>
      <c r="P280" s="98" t="s">
        <v>29</v>
      </c>
      <c r="Q280" s="97" t="s">
        <v>29</v>
      </c>
      <c r="R280" s="92" t="s">
        <v>29</v>
      </c>
      <c r="S280" s="92" t="s">
        <v>29</v>
      </c>
      <c r="T280" s="92" t="s">
        <v>29</v>
      </c>
      <c r="U280" s="116" t="s">
        <v>29</v>
      </c>
    </row>
    <row r="281" spans="1:21" ht="13.2" x14ac:dyDescent="0.25">
      <c r="A281" s="67" t="s">
        <v>29</v>
      </c>
      <c r="B281" s="108"/>
      <c r="C281" s="92" t="s">
        <v>29</v>
      </c>
      <c r="D281" s="98" t="s">
        <v>29</v>
      </c>
      <c r="E281" s="97" t="s">
        <v>29</v>
      </c>
      <c r="F281" s="92" t="s">
        <v>29</v>
      </c>
      <c r="G281" s="92" t="s">
        <v>29</v>
      </c>
      <c r="H281" s="92" t="s">
        <v>29</v>
      </c>
      <c r="I281" s="116" t="s">
        <v>29</v>
      </c>
      <c r="J281" s="89"/>
      <c r="K281" s="89"/>
      <c r="L281" s="89"/>
      <c r="M281" s="96" t="s">
        <v>29</v>
      </c>
      <c r="N281" s="108"/>
      <c r="O281" s="92" t="s">
        <v>29</v>
      </c>
      <c r="P281" s="98" t="s">
        <v>29</v>
      </c>
      <c r="Q281" s="97" t="s">
        <v>29</v>
      </c>
      <c r="R281" s="92" t="s">
        <v>29</v>
      </c>
      <c r="S281" s="92" t="s">
        <v>29</v>
      </c>
      <c r="T281" s="92" t="s">
        <v>29</v>
      </c>
      <c r="U281" s="116" t="s">
        <v>29</v>
      </c>
    </row>
    <row r="282" spans="1:21" ht="13.2" x14ac:dyDescent="0.25">
      <c r="A282" s="67" t="s">
        <v>29</v>
      </c>
      <c r="B282" s="108"/>
      <c r="C282" s="92" t="s">
        <v>29</v>
      </c>
      <c r="D282" s="98" t="s">
        <v>29</v>
      </c>
      <c r="E282" s="97" t="s">
        <v>29</v>
      </c>
      <c r="F282" s="92" t="s">
        <v>29</v>
      </c>
      <c r="G282" s="92" t="s">
        <v>29</v>
      </c>
      <c r="H282" s="92" t="s">
        <v>29</v>
      </c>
      <c r="I282" s="116" t="s">
        <v>29</v>
      </c>
      <c r="J282" s="89"/>
      <c r="K282" s="89"/>
      <c r="L282" s="89"/>
      <c r="M282" s="96" t="s">
        <v>29</v>
      </c>
      <c r="N282" s="108"/>
      <c r="O282" s="92" t="s">
        <v>29</v>
      </c>
      <c r="P282" s="98" t="s">
        <v>29</v>
      </c>
      <c r="Q282" s="97" t="s">
        <v>29</v>
      </c>
      <c r="R282" s="92" t="s">
        <v>29</v>
      </c>
      <c r="S282" s="92" t="s">
        <v>29</v>
      </c>
      <c r="T282" s="92" t="s">
        <v>29</v>
      </c>
      <c r="U282" s="116" t="s">
        <v>29</v>
      </c>
    </row>
    <row r="283" spans="1:21" ht="13.2" x14ac:dyDescent="0.25">
      <c r="A283" s="67" t="s">
        <v>29</v>
      </c>
      <c r="B283" s="108"/>
      <c r="C283" s="92" t="s">
        <v>29</v>
      </c>
      <c r="D283" s="98" t="s">
        <v>29</v>
      </c>
      <c r="E283" s="97" t="s">
        <v>29</v>
      </c>
      <c r="F283" s="92" t="s">
        <v>29</v>
      </c>
      <c r="G283" s="92" t="s">
        <v>29</v>
      </c>
      <c r="H283" s="92" t="s">
        <v>29</v>
      </c>
      <c r="I283" s="116" t="s">
        <v>29</v>
      </c>
      <c r="J283" s="89"/>
      <c r="K283" s="89"/>
      <c r="L283" s="89"/>
      <c r="M283" s="96" t="s">
        <v>29</v>
      </c>
      <c r="N283" s="108"/>
      <c r="O283" s="92" t="s">
        <v>29</v>
      </c>
      <c r="P283" s="98" t="s">
        <v>29</v>
      </c>
      <c r="Q283" s="97" t="s">
        <v>29</v>
      </c>
      <c r="R283" s="92" t="s">
        <v>29</v>
      </c>
      <c r="S283" s="92" t="s">
        <v>29</v>
      </c>
      <c r="T283" s="92" t="s">
        <v>29</v>
      </c>
      <c r="U283" s="116" t="s">
        <v>29</v>
      </c>
    </row>
    <row r="284" spans="1:21" ht="13.2" x14ac:dyDescent="0.25">
      <c r="A284" s="67" t="s">
        <v>29</v>
      </c>
      <c r="B284" s="108"/>
      <c r="C284" s="92" t="s">
        <v>29</v>
      </c>
      <c r="D284" s="98" t="s">
        <v>29</v>
      </c>
      <c r="E284" s="97" t="s">
        <v>29</v>
      </c>
      <c r="F284" s="92" t="s">
        <v>29</v>
      </c>
      <c r="G284" s="92" t="s">
        <v>29</v>
      </c>
      <c r="H284" s="92" t="s">
        <v>29</v>
      </c>
      <c r="I284" s="116" t="s">
        <v>29</v>
      </c>
      <c r="J284" s="89"/>
      <c r="K284" s="89"/>
      <c r="L284" s="89"/>
      <c r="M284" s="96" t="s">
        <v>29</v>
      </c>
      <c r="N284" s="108"/>
      <c r="O284" s="92" t="s">
        <v>29</v>
      </c>
      <c r="P284" s="98" t="s">
        <v>29</v>
      </c>
      <c r="Q284" s="97" t="s">
        <v>29</v>
      </c>
      <c r="R284" s="92" t="s">
        <v>29</v>
      </c>
      <c r="S284" s="92" t="s">
        <v>29</v>
      </c>
      <c r="T284" s="92" t="s">
        <v>29</v>
      </c>
      <c r="U284" s="116" t="s">
        <v>29</v>
      </c>
    </row>
    <row r="285" spans="1:21" ht="13.2" x14ac:dyDescent="0.25">
      <c r="A285" s="67" t="s">
        <v>29</v>
      </c>
      <c r="B285" s="108"/>
      <c r="C285" s="92" t="s">
        <v>29</v>
      </c>
      <c r="D285" s="98" t="s">
        <v>29</v>
      </c>
      <c r="E285" s="97" t="s">
        <v>29</v>
      </c>
      <c r="F285" s="92" t="s">
        <v>29</v>
      </c>
      <c r="G285" s="92" t="s">
        <v>29</v>
      </c>
      <c r="H285" s="92" t="s">
        <v>29</v>
      </c>
      <c r="I285" s="116" t="s">
        <v>29</v>
      </c>
      <c r="J285" s="89"/>
      <c r="K285" s="89"/>
      <c r="L285" s="89"/>
      <c r="M285" s="96" t="s">
        <v>29</v>
      </c>
      <c r="N285" s="108"/>
      <c r="O285" s="92" t="s">
        <v>29</v>
      </c>
      <c r="P285" s="98" t="s">
        <v>29</v>
      </c>
      <c r="Q285" s="97" t="s">
        <v>29</v>
      </c>
      <c r="R285" s="92" t="s">
        <v>29</v>
      </c>
      <c r="S285" s="92" t="s">
        <v>29</v>
      </c>
      <c r="T285" s="92" t="s">
        <v>29</v>
      </c>
      <c r="U285" s="116" t="s">
        <v>29</v>
      </c>
    </row>
    <row r="286" spans="1:21" ht="13.2" x14ac:dyDescent="0.25">
      <c r="A286" s="67" t="s">
        <v>29</v>
      </c>
      <c r="B286" s="108"/>
      <c r="C286" s="219" t="s">
        <v>971</v>
      </c>
      <c r="D286" s="220"/>
      <c r="E286" s="220"/>
      <c r="F286" s="222"/>
      <c r="G286" s="99">
        <v>0</v>
      </c>
      <c r="H286" s="99">
        <v>5</v>
      </c>
      <c r="I286" s="116" t="s">
        <v>29</v>
      </c>
      <c r="J286" s="89"/>
      <c r="K286" s="89"/>
      <c r="L286" s="89"/>
      <c r="M286" s="96" t="s">
        <v>29</v>
      </c>
      <c r="N286" s="108"/>
      <c r="O286" s="219" t="s">
        <v>972</v>
      </c>
      <c r="P286" s="220"/>
      <c r="Q286" s="220"/>
      <c r="R286" s="222"/>
      <c r="S286" s="99">
        <v>8</v>
      </c>
      <c r="T286" s="99">
        <v>0</v>
      </c>
      <c r="U286" s="116" t="s">
        <v>29</v>
      </c>
    </row>
    <row r="287" spans="1:21" ht="13.2" x14ac:dyDescent="0.25">
      <c r="A287" s="67" t="s">
        <v>29</v>
      </c>
      <c r="B287" s="89"/>
      <c r="C287" s="89"/>
      <c r="D287" s="89"/>
      <c r="E287" s="89"/>
      <c r="F287" s="89"/>
      <c r="G287" s="89"/>
      <c r="H287" s="89"/>
      <c r="I287" s="89" t="s">
        <v>29</v>
      </c>
      <c r="J287" s="89"/>
      <c r="K287" s="89"/>
      <c r="L287" s="89"/>
      <c r="M287" s="96" t="s">
        <v>29</v>
      </c>
      <c r="N287" s="89"/>
      <c r="O287" s="89"/>
      <c r="P287" s="89"/>
      <c r="Q287" s="89"/>
      <c r="R287" s="89"/>
      <c r="S287" s="89"/>
      <c r="T287" s="89"/>
      <c r="U287" s="89" t="s">
        <v>29</v>
      </c>
    </row>
    <row r="288" spans="1:21" ht="13.2" x14ac:dyDescent="0.25">
      <c r="A288" s="67" t="s">
        <v>29</v>
      </c>
      <c r="B288" s="101"/>
      <c r="C288" s="101"/>
      <c r="D288" s="101"/>
      <c r="E288" s="101"/>
      <c r="F288" s="101"/>
      <c r="G288" s="101"/>
      <c r="H288" s="101"/>
      <c r="I288" s="101" t="s">
        <v>29</v>
      </c>
      <c r="J288" s="89"/>
      <c r="K288" s="89"/>
      <c r="L288" s="89"/>
      <c r="M288" s="96" t="s">
        <v>29</v>
      </c>
      <c r="N288" s="101"/>
      <c r="O288" s="101"/>
      <c r="P288" s="101"/>
      <c r="Q288" s="101"/>
      <c r="R288" s="101"/>
      <c r="S288" s="101"/>
      <c r="T288" s="101"/>
      <c r="U288" s="101" t="s">
        <v>29</v>
      </c>
    </row>
    <row r="289" spans="1:21" ht="13.2" x14ac:dyDescent="0.25">
      <c r="A289" s="67" t="s">
        <v>927</v>
      </c>
      <c r="B289" s="111"/>
      <c r="C289" s="112" t="s">
        <v>936</v>
      </c>
      <c r="D289" s="113" t="s">
        <v>928</v>
      </c>
      <c r="E289" s="114" t="s">
        <v>2</v>
      </c>
      <c r="F289" s="114" t="s">
        <v>937</v>
      </c>
      <c r="G289" s="114" t="s">
        <v>917</v>
      </c>
      <c r="H289" s="114" t="s">
        <v>918</v>
      </c>
      <c r="I289" s="115" t="s">
        <v>29</v>
      </c>
      <c r="J289" s="89"/>
      <c r="K289" s="89"/>
      <c r="L289" s="89"/>
      <c r="M289" s="90" t="s">
        <v>929</v>
      </c>
      <c r="N289" s="115"/>
      <c r="O289" s="112" t="s">
        <v>936</v>
      </c>
      <c r="P289" s="113" t="s">
        <v>930</v>
      </c>
      <c r="Q289" s="114" t="s">
        <v>2</v>
      </c>
      <c r="R289" s="114" t="s">
        <v>937</v>
      </c>
      <c r="S289" s="114" t="s">
        <v>917</v>
      </c>
      <c r="T289" s="114" t="s">
        <v>918</v>
      </c>
      <c r="U289" s="115" t="s">
        <v>29</v>
      </c>
    </row>
    <row r="290" spans="1:21" ht="13.2" x14ac:dyDescent="0.25">
      <c r="A290" s="67" t="s">
        <v>927</v>
      </c>
      <c r="B290" s="84"/>
      <c r="C290" s="92">
        <v>1</v>
      </c>
      <c r="D290" s="93" t="s">
        <v>2060</v>
      </c>
      <c r="E290" s="94" t="s">
        <v>418</v>
      </c>
      <c r="F290" s="92" t="s">
        <v>2048</v>
      </c>
      <c r="G290" s="92" t="s">
        <v>29</v>
      </c>
      <c r="H290" s="92">
        <v>5</v>
      </c>
      <c r="I290" s="115" t="s">
        <v>64</v>
      </c>
      <c r="J290" s="89"/>
      <c r="K290" s="89"/>
      <c r="L290" s="89"/>
      <c r="M290" s="96" t="s">
        <v>929</v>
      </c>
      <c r="N290" s="84"/>
      <c r="O290" s="92">
        <v>1</v>
      </c>
      <c r="P290" s="93" t="s">
        <v>2061</v>
      </c>
      <c r="Q290" s="94" t="s">
        <v>417</v>
      </c>
      <c r="R290" s="92" t="s">
        <v>2048</v>
      </c>
      <c r="S290" s="92" t="s">
        <v>29</v>
      </c>
      <c r="T290" s="92">
        <v>5</v>
      </c>
      <c r="U290" s="115" t="s">
        <v>29</v>
      </c>
    </row>
    <row r="291" spans="1:21" ht="13.2" x14ac:dyDescent="0.25">
      <c r="A291" s="67" t="s">
        <v>927</v>
      </c>
      <c r="B291" s="84"/>
      <c r="C291" s="92">
        <v>2</v>
      </c>
      <c r="D291" s="93" t="s">
        <v>2062</v>
      </c>
      <c r="E291" s="97" t="s">
        <v>188</v>
      </c>
      <c r="F291" s="92" t="s">
        <v>2047</v>
      </c>
      <c r="G291" s="92">
        <v>3</v>
      </c>
      <c r="H291" s="92" t="s">
        <v>29</v>
      </c>
      <c r="I291" s="115" t="s">
        <v>29</v>
      </c>
      <c r="J291" s="89"/>
      <c r="K291" s="89"/>
      <c r="L291" s="89"/>
      <c r="M291" s="96" t="s">
        <v>29</v>
      </c>
      <c r="N291" s="84"/>
      <c r="O291" s="92" t="s">
        <v>29</v>
      </c>
      <c r="P291" s="93" t="s">
        <v>29</v>
      </c>
      <c r="Q291" s="97" t="s">
        <v>29</v>
      </c>
      <c r="R291" s="92" t="s">
        <v>29</v>
      </c>
      <c r="S291" s="92" t="s">
        <v>29</v>
      </c>
      <c r="T291" s="92" t="s">
        <v>29</v>
      </c>
      <c r="U291" s="115" t="s">
        <v>29</v>
      </c>
    </row>
    <row r="292" spans="1:21" ht="13.2" x14ac:dyDescent="0.25">
      <c r="A292" s="67" t="s">
        <v>927</v>
      </c>
      <c r="B292" s="84"/>
      <c r="C292" s="92">
        <v>3</v>
      </c>
      <c r="D292" s="93" t="s">
        <v>2063</v>
      </c>
      <c r="E292" s="97" t="s">
        <v>629</v>
      </c>
      <c r="F292" s="92" t="s">
        <v>2047</v>
      </c>
      <c r="G292" s="92">
        <v>1</v>
      </c>
      <c r="H292" s="92" t="s">
        <v>29</v>
      </c>
      <c r="I292" s="115" t="s">
        <v>29</v>
      </c>
      <c r="J292" s="89"/>
      <c r="K292" s="89"/>
      <c r="L292" s="89"/>
      <c r="M292" s="96" t="s">
        <v>29</v>
      </c>
      <c r="N292" s="84"/>
      <c r="O292" s="92" t="s">
        <v>29</v>
      </c>
      <c r="P292" s="93" t="s">
        <v>29</v>
      </c>
      <c r="Q292" s="97" t="s">
        <v>29</v>
      </c>
      <c r="R292" s="92" t="s">
        <v>29</v>
      </c>
      <c r="S292" s="92" t="s">
        <v>29</v>
      </c>
      <c r="T292" s="92" t="s">
        <v>29</v>
      </c>
      <c r="U292" s="115" t="s">
        <v>29</v>
      </c>
    </row>
    <row r="293" spans="1:21" ht="13.2" x14ac:dyDescent="0.25">
      <c r="A293" s="67" t="s">
        <v>29</v>
      </c>
      <c r="B293" s="84"/>
      <c r="C293" s="92" t="s">
        <v>29</v>
      </c>
      <c r="D293" s="93" t="s">
        <v>29</v>
      </c>
      <c r="E293" s="97" t="s">
        <v>29</v>
      </c>
      <c r="F293" s="92" t="s">
        <v>29</v>
      </c>
      <c r="G293" s="92" t="s">
        <v>29</v>
      </c>
      <c r="H293" s="92" t="s">
        <v>29</v>
      </c>
      <c r="I293" s="115" t="s">
        <v>29</v>
      </c>
      <c r="J293" s="89"/>
      <c r="K293" s="89"/>
      <c r="L293" s="89"/>
      <c r="M293" s="96" t="s">
        <v>29</v>
      </c>
      <c r="N293" s="84"/>
      <c r="O293" s="92" t="s">
        <v>29</v>
      </c>
      <c r="P293" s="93" t="s">
        <v>29</v>
      </c>
      <c r="Q293" s="97" t="s">
        <v>29</v>
      </c>
      <c r="R293" s="92" t="s">
        <v>29</v>
      </c>
      <c r="S293" s="92" t="s">
        <v>29</v>
      </c>
      <c r="T293" s="92" t="s">
        <v>29</v>
      </c>
      <c r="U293" s="115" t="s">
        <v>29</v>
      </c>
    </row>
    <row r="294" spans="1:21" ht="13.2" x14ac:dyDescent="0.25">
      <c r="A294" s="67" t="s">
        <v>29</v>
      </c>
      <c r="B294" s="84"/>
      <c r="C294" s="92" t="s">
        <v>29</v>
      </c>
      <c r="D294" s="93" t="s">
        <v>29</v>
      </c>
      <c r="E294" s="97" t="s">
        <v>29</v>
      </c>
      <c r="F294" s="92" t="s">
        <v>29</v>
      </c>
      <c r="G294" s="92" t="s">
        <v>29</v>
      </c>
      <c r="H294" s="92" t="s">
        <v>29</v>
      </c>
      <c r="I294" s="115" t="s">
        <v>29</v>
      </c>
      <c r="J294" s="89"/>
      <c r="K294" s="89"/>
      <c r="L294" s="89"/>
      <c r="M294" s="96" t="s">
        <v>29</v>
      </c>
      <c r="N294" s="84"/>
      <c r="O294" s="92" t="s">
        <v>29</v>
      </c>
      <c r="P294" s="93" t="s">
        <v>29</v>
      </c>
      <c r="Q294" s="97" t="s">
        <v>29</v>
      </c>
      <c r="R294" s="92" t="s">
        <v>29</v>
      </c>
      <c r="S294" s="92" t="s">
        <v>29</v>
      </c>
      <c r="T294" s="92" t="s">
        <v>29</v>
      </c>
      <c r="U294" s="115" t="s">
        <v>29</v>
      </c>
    </row>
    <row r="295" spans="1:21" ht="13.2" x14ac:dyDescent="0.25">
      <c r="A295" s="67" t="s">
        <v>29</v>
      </c>
      <c r="B295" s="84"/>
      <c r="C295" s="92" t="s">
        <v>29</v>
      </c>
      <c r="D295" s="93" t="s">
        <v>29</v>
      </c>
      <c r="E295" s="97" t="s">
        <v>29</v>
      </c>
      <c r="F295" s="92" t="s">
        <v>29</v>
      </c>
      <c r="G295" s="92" t="s">
        <v>29</v>
      </c>
      <c r="H295" s="92" t="s">
        <v>29</v>
      </c>
      <c r="I295" s="115" t="s">
        <v>29</v>
      </c>
      <c r="J295" s="89"/>
      <c r="K295" s="89"/>
      <c r="L295" s="89"/>
      <c r="M295" s="96" t="s">
        <v>29</v>
      </c>
      <c r="N295" s="84"/>
      <c r="O295" s="92" t="s">
        <v>29</v>
      </c>
      <c r="P295" s="93" t="s">
        <v>29</v>
      </c>
      <c r="Q295" s="97" t="s">
        <v>29</v>
      </c>
      <c r="R295" s="92" t="s">
        <v>29</v>
      </c>
      <c r="S295" s="92" t="s">
        <v>29</v>
      </c>
      <c r="T295" s="92" t="s">
        <v>29</v>
      </c>
      <c r="U295" s="115" t="s">
        <v>29</v>
      </c>
    </row>
    <row r="296" spans="1:21" ht="13.2" x14ac:dyDescent="0.25">
      <c r="A296" s="67" t="s">
        <v>29</v>
      </c>
      <c r="B296" s="84"/>
      <c r="C296" s="92" t="s">
        <v>29</v>
      </c>
      <c r="D296" s="93" t="s">
        <v>29</v>
      </c>
      <c r="E296" s="97" t="s">
        <v>29</v>
      </c>
      <c r="F296" s="92" t="s">
        <v>29</v>
      </c>
      <c r="G296" s="92" t="s">
        <v>29</v>
      </c>
      <c r="H296" s="92" t="s">
        <v>29</v>
      </c>
      <c r="I296" s="115" t="s">
        <v>29</v>
      </c>
      <c r="J296" s="89"/>
      <c r="K296" s="89"/>
      <c r="L296" s="89"/>
      <c r="M296" s="96" t="s">
        <v>29</v>
      </c>
      <c r="N296" s="84"/>
      <c r="O296" s="92" t="s">
        <v>29</v>
      </c>
      <c r="P296" s="93" t="s">
        <v>29</v>
      </c>
      <c r="Q296" s="97" t="s">
        <v>29</v>
      </c>
      <c r="R296" s="92" t="s">
        <v>29</v>
      </c>
      <c r="S296" s="92" t="s">
        <v>29</v>
      </c>
      <c r="T296" s="92" t="s">
        <v>29</v>
      </c>
      <c r="U296" s="115" t="s">
        <v>29</v>
      </c>
    </row>
    <row r="297" spans="1:21" ht="13.2" x14ac:dyDescent="0.25">
      <c r="A297" s="67" t="s">
        <v>29</v>
      </c>
      <c r="B297" s="84"/>
      <c r="C297" s="92" t="s">
        <v>29</v>
      </c>
      <c r="D297" s="93" t="s">
        <v>29</v>
      </c>
      <c r="E297" s="97" t="s">
        <v>29</v>
      </c>
      <c r="F297" s="92" t="s">
        <v>29</v>
      </c>
      <c r="G297" s="92" t="s">
        <v>29</v>
      </c>
      <c r="H297" s="92" t="s">
        <v>29</v>
      </c>
      <c r="I297" s="115" t="s">
        <v>29</v>
      </c>
      <c r="J297" s="89"/>
      <c r="K297" s="89"/>
      <c r="L297" s="89"/>
      <c r="M297" s="96" t="s">
        <v>29</v>
      </c>
      <c r="N297" s="84"/>
      <c r="O297" s="92" t="s">
        <v>29</v>
      </c>
      <c r="P297" s="93" t="s">
        <v>29</v>
      </c>
      <c r="Q297" s="97" t="s">
        <v>29</v>
      </c>
      <c r="R297" s="92" t="s">
        <v>29</v>
      </c>
      <c r="S297" s="92" t="s">
        <v>29</v>
      </c>
      <c r="T297" s="92" t="s">
        <v>29</v>
      </c>
      <c r="U297" s="115" t="s">
        <v>29</v>
      </c>
    </row>
    <row r="298" spans="1:21" ht="13.2" x14ac:dyDescent="0.25">
      <c r="A298" s="67"/>
      <c r="B298" s="84"/>
      <c r="C298" s="92" t="s">
        <v>29</v>
      </c>
      <c r="D298" s="93" t="s">
        <v>29</v>
      </c>
      <c r="E298" s="97" t="s">
        <v>29</v>
      </c>
      <c r="F298" s="92" t="s">
        <v>29</v>
      </c>
      <c r="G298" s="92" t="s">
        <v>29</v>
      </c>
      <c r="H298" s="92" t="s">
        <v>29</v>
      </c>
      <c r="I298" s="115" t="s">
        <v>29</v>
      </c>
      <c r="J298" s="89"/>
      <c r="K298" s="89"/>
      <c r="L298" s="89"/>
      <c r="M298" s="96"/>
      <c r="N298" s="84"/>
      <c r="O298" s="92" t="s">
        <v>29</v>
      </c>
      <c r="P298" s="93" t="s">
        <v>29</v>
      </c>
      <c r="Q298" s="97" t="s">
        <v>29</v>
      </c>
      <c r="R298" s="92" t="s">
        <v>29</v>
      </c>
      <c r="S298" s="92" t="s">
        <v>29</v>
      </c>
      <c r="T298" s="92" t="s">
        <v>29</v>
      </c>
      <c r="U298" s="115" t="s">
        <v>29</v>
      </c>
    </row>
    <row r="299" spans="1:21" ht="13.2" x14ac:dyDescent="0.25">
      <c r="A299" s="67"/>
      <c r="B299" s="84"/>
      <c r="C299" s="92" t="s">
        <v>29</v>
      </c>
      <c r="D299" s="93" t="s">
        <v>29</v>
      </c>
      <c r="E299" s="97" t="s">
        <v>29</v>
      </c>
      <c r="F299" s="92" t="s">
        <v>29</v>
      </c>
      <c r="G299" s="92" t="s">
        <v>29</v>
      </c>
      <c r="H299" s="92" t="s">
        <v>29</v>
      </c>
      <c r="I299" s="115" t="s">
        <v>29</v>
      </c>
      <c r="J299" s="89"/>
      <c r="K299" s="89"/>
      <c r="L299" s="89"/>
      <c r="M299" s="96"/>
      <c r="N299" s="84"/>
      <c r="O299" s="92" t="s">
        <v>29</v>
      </c>
      <c r="P299" s="93" t="s">
        <v>29</v>
      </c>
      <c r="Q299" s="97" t="s">
        <v>29</v>
      </c>
      <c r="R299" s="92" t="s">
        <v>29</v>
      </c>
      <c r="S299" s="92" t="s">
        <v>29</v>
      </c>
      <c r="T299" s="92" t="s">
        <v>29</v>
      </c>
      <c r="U299" s="115" t="s">
        <v>29</v>
      </c>
    </row>
    <row r="300" spans="1:21" ht="13.2" x14ac:dyDescent="0.25">
      <c r="A300" s="67"/>
      <c r="B300" s="84"/>
      <c r="C300" s="92" t="s">
        <v>29</v>
      </c>
      <c r="D300" s="93" t="s">
        <v>29</v>
      </c>
      <c r="E300" s="97" t="s">
        <v>29</v>
      </c>
      <c r="F300" s="92" t="s">
        <v>29</v>
      </c>
      <c r="G300" s="92" t="s">
        <v>29</v>
      </c>
      <c r="H300" s="92" t="s">
        <v>29</v>
      </c>
      <c r="I300" s="115" t="s">
        <v>29</v>
      </c>
      <c r="J300" s="89"/>
      <c r="K300" s="89"/>
      <c r="L300" s="89"/>
      <c r="M300" s="96"/>
      <c r="N300" s="84"/>
      <c r="O300" s="92" t="s">
        <v>29</v>
      </c>
      <c r="P300" s="93" t="s">
        <v>29</v>
      </c>
      <c r="Q300" s="97" t="s">
        <v>29</v>
      </c>
      <c r="R300" s="92" t="s">
        <v>29</v>
      </c>
      <c r="S300" s="92" t="s">
        <v>29</v>
      </c>
      <c r="T300" s="92" t="s">
        <v>29</v>
      </c>
      <c r="U300" s="115" t="s">
        <v>29</v>
      </c>
    </row>
    <row r="301" spans="1:21" ht="13.2" x14ac:dyDescent="0.25">
      <c r="A301" s="67"/>
      <c r="B301" s="84"/>
      <c r="C301" s="92" t="s">
        <v>29</v>
      </c>
      <c r="D301" s="93" t="s">
        <v>29</v>
      </c>
      <c r="E301" s="97" t="s">
        <v>29</v>
      </c>
      <c r="F301" s="92" t="s">
        <v>29</v>
      </c>
      <c r="G301" s="92" t="s">
        <v>29</v>
      </c>
      <c r="H301" s="92" t="s">
        <v>29</v>
      </c>
      <c r="I301" s="115" t="s">
        <v>29</v>
      </c>
      <c r="J301" s="89"/>
      <c r="K301" s="89"/>
      <c r="L301" s="89"/>
      <c r="M301" s="96"/>
      <c r="N301" s="84"/>
      <c r="O301" s="92" t="s">
        <v>29</v>
      </c>
      <c r="P301" s="93" t="s">
        <v>29</v>
      </c>
      <c r="Q301" s="97" t="s">
        <v>29</v>
      </c>
      <c r="R301" s="92" t="s">
        <v>29</v>
      </c>
      <c r="S301" s="92" t="s">
        <v>29</v>
      </c>
      <c r="T301" s="92" t="s">
        <v>29</v>
      </c>
      <c r="U301" s="115" t="s">
        <v>29</v>
      </c>
    </row>
    <row r="302" spans="1:21" ht="13.2" x14ac:dyDescent="0.25">
      <c r="A302" s="67"/>
      <c r="B302" s="84"/>
      <c r="C302" s="92" t="s">
        <v>29</v>
      </c>
      <c r="D302" s="98" t="s">
        <v>29</v>
      </c>
      <c r="E302" s="97" t="s">
        <v>29</v>
      </c>
      <c r="F302" s="92" t="s">
        <v>29</v>
      </c>
      <c r="G302" s="92" t="s">
        <v>29</v>
      </c>
      <c r="H302" s="92" t="s">
        <v>29</v>
      </c>
      <c r="I302" s="115" t="s">
        <v>29</v>
      </c>
      <c r="J302" s="89"/>
      <c r="K302" s="89"/>
      <c r="L302" s="89"/>
      <c r="M302" s="96"/>
      <c r="N302" s="84"/>
      <c r="O302" s="92" t="s">
        <v>29</v>
      </c>
      <c r="P302" s="98" t="s">
        <v>29</v>
      </c>
      <c r="Q302" s="97" t="s">
        <v>29</v>
      </c>
      <c r="R302" s="92" t="s">
        <v>29</v>
      </c>
      <c r="S302" s="92" t="s">
        <v>29</v>
      </c>
      <c r="T302" s="92" t="s">
        <v>29</v>
      </c>
      <c r="U302" s="115" t="s">
        <v>29</v>
      </c>
    </row>
    <row r="303" spans="1:21" ht="13.2" x14ac:dyDescent="0.25">
      <c r="A303" s="67" t="s">
        <v>29</v>
      </c>
      <c r="B303" s="84"/>
      <c r="C303" s="92" t="s">
        <v>29</v>
      </c>
      <c r="D303" s="98" t="s">
        <v>29</v>
      </c>
      <c r="E303" s="97" t="s">
        <v>29</v>
      </c>
      <c r="F303" s="92" t="s">
        <v>29</v>
      </c>
      <c r="G303" s="92" t="s">
        <v>29</v>
      </c>
      <c r="H303" s="92" t="s">
        <v>29</v>
      </c>
      <c r="I303" s="115" t="s">
        <v>29</v>
      </c>
      <c r="J303" s="89"/>
      <c r="K303" s="89"/>
      <c r="L303" s="89"/>
      <c r="M303" s="96" t="s">
        <v>29</v>
      </c>
      <c r="N303" s="84"/>
      <c r="O303" s="92" t="s">
        <v>29</v>
      </c>
      <c r="P303" s="98" t="s">
        <v>29</v>
      </c>
      <c r="Q303" s="97" t="s">
        <v>29</v>
      </c>
      <c r="R303" s="92" t="s">
        <v>29</v>
      </c>
      <c r="S303" s="92" t="s">
        <v>29</v>
      </c>
      <c r="T303" s="92" t="s">
        <v>29</v>
      </c>
      <c r="U303" s="115" t="s">
        <v>29</v>
      </c>
    </row>
    <row r="304" spans="1:21" ht="13.2" x14ac:dyDescent="0.25">
      <c r="A304" s="67" t="s">
        <v>29</v>
      </c>
      <c r="B304" s="84"/>
      <c r="C304" s="92" t="s">
        <v>29</v>
      </c>
      <c r="D304" s="98" t="s">
        <v>29</v>
      </c>
      <c r="E304" s="97" t="s">
        <v>29</v>
      </c>
      <c r="F304" s="92" t="s">
        <v>29</v>
      </c>
      <c r="G304" s="92" t="s">
        <v>29</v>
      </c>
      <c r="H304" s="92" t="s">
        <v>29</v>
      </c>
      <c r="I304" s="115" t="s">
        <v>29</v>
      </c>
      <c r="J304" s="89"/>
      <c r="K304" s="89"/>
      <c r="L304" s="89"/>
      <c r="M304" s="96" t="s">
        <v>29</v>
      </c>
      <c r="N304" s="84"/>
      <c r="O304" s="92" t="s">
        <v>29</v>
      </c>
      <c r="P304" s="98" t="s">
        <v>29</v>
      </c>
      <c r="Q304" s="97" t="s">
        <v>29</v>
      </c>
      <c r="R304" s="92" t="s">
        <v>29</v>
      </c>
      <c r="S304" s="92" t="s">
        <v>29</v>
      </c>
      <c r="T304" s="92" t="s">
        <v>29</v>
      </c>
      <c r="U304" s="115" t="s">
        <v>29</v>
      </c>
    </row>
    <row r="305" spans="1:21" ht="13.2" x14ac:dyDescent="0.25">
      <c r="A305" s="67" t="s">
        <v>29</v>
      </c>
      <c r="B305" s="84"/>
      <c r="C305" s="219" t="s">
        <v>984</v>
      </c>
      <c r="D305" s="220"/>
      <c r="E305" s="220"/>
      <c r="F305" s="220"/>
      <c r="G305" s="99">
        <v>4</v>
      </c>
      <c r="H305" s="99">
        <v>5</v>
      </c>
      <c r="I305" s="115" t="s">
        <v>29</v>
      </c>
      <c r="J305" s="89"/>
      <c r="K305" s="89"/>
      <c r="L305" s="89"/>
      <c r="M305" s="96" t="s">
        <v>29</v>
      </c>
      <c r="N305" s="84"/>
      <c r="O305" s="219" t="s">
        <v>985</v>
      </c>
      <c r="P305" s="220"/>
      <c r="Q305" s="220"/>
      <c r="R305" s="220"/>
      <c r="S305" s="99">
        <v>0</v>
      </c>
      <c r="T305" s="99">
        <v>5</v>
      </c>
      <c r="U305" s="115" t="s">
        <v>29</v>
      </c>
    </row>
    <row r="306" spans="1:21" ht="13.2" x14ac:dyDescent="0.25">
      <c r="A306" s="67" t="s">
        <v>29</v>
      </c>
      <c r="B306" s="89"/>
      <c r="C306" s="89"/>
      <c r="D306" s="89"/>
      <c r="E306" s="89"/>
      <c r="F306" s="89"/>
      <c r="G306" s="89"/>
      <c r="H306" s="89"/>
      <c r="I306" s="89" t="s">
        <v>29</v>
      </c>
      <c r="J306" s="89"/>
      <c r="K306" s="89"/>
      <c r="L306" s="89"/>
      <c r="M306" s="96" t="s">
        <v>29</v>
      </c>
      <c r="N306" s="89"/>
      <c r="O306" s="89"/>
      <c r="P306" s="89"/>
      <c r="Q306" s="89"/>
      <c r="R306" s="89"/>
      <c r="S306" s="89"/>
      <c r="T306" s="89"/>
      <c r="U306" s="89" t="s">
        <v>29</v>
      </c>
    </row>
    <row r="307" spans="1:21" ht="13.2" x14ac:dyDescent="0.25">
      <c r="A307" s="67" t="s">
        <v>29</v>
      </c>
      <c r="B307" s="101"/>
      <c r="C307" s="101"/>
      <c r="D307" s="101"/>
      <c r="E307" s="101"/>
      <c r="F307" s="101"/>
      <c r="G307" s="101"/>
      <c r="H307" s="101"/>
      <c r="I307" s="101" t="s">
        <v>29</v>
      </c>
      <c r="J307" s="89"/>
      <c r="K307" s="89"/>
      <c r="L307" s="89"/>
      <c r="M307" s="96" t="s">
        <v>29</v>
      </c>
      <c r="N307" s="101"/>
      <c r="O307" s="101"/>
      <c r="P307" s="101"/>
      <c r="Q307" s="101"/>
      <c r="R307" s="101"/>
      <c r="S307" s="101"/>
      <c r="T307" s="101"/>
      <c r="U307" s="101" t="s">
        <v>29</v>
      </c>
    </row>
    <row r="308" spans="1:21" ht="13.2" x14ac:dyDescent="0.25">
      <c r="A308" s="67" t="s">
        <v>931</v>
      </c>
      <c r="B308" s="103"/>
      <c r="C308" s="104" t="s">
        <v>936</v>
      </c>
      <c r="D308" s="105" t="s">
        <v>932</v>
      </c>
      <c r="E308" s="106" t="s">
        <v>2</v>
      </c>
      <c r="F308" s="106" t="s">
        <v>937</v>
      </c>
      <c r="G308" s="106" t="s">
        <v>917</v>
      </c>
      <c r="H308" s="106" t="s">
        <v>918</v>
      </c>
      <c r="I308" s="116" t="s">
        <v>29</v>
      </c>
      <c r="J308" s="89"/>
      <c r="K308" s="89"/>
      <c r="L308" s="89"/>
      <c r="M308" s="90" t="s">
        <v>933</v>
      </c>
      <c r="N308" s="116"/>
      <c r="O308" s="104" t="s">
        <v>936</v>
      </c>
      <c r="P308" s="105" t="s">
        <v>934</v>
      </c>
      <c r="Q308" s="106" t="s">
        <v>2</v>
      </c>
      <c r="R308" s="106" t="s">
        <v>937</v>
      </c>
      <c r="S308" s="106" t="s">
        <v>917</v>
      </c>
      <c r="T308" s="106" t="s">
        <v>918</v>
      </c>
      <c r="U308" s="116" t="s">
        <v>29</v>
      </c>
    </row>
    <row r="309" spans="1:21" ht="13.2" x14ac:dyDescent="0.25">
      <c r="A309" s="67" t="s">
        <v>931</v>
      </c>
      <c r="B309" s="108"/>
      <c r="C309" s="92">
        <v>1</v>
      </c>
      <c r="D309" s="93" t="s">
        <v>2064</v>
      </c>
      <c r="E309" s="94" t="s">
        <v>420</v>
      </c>
      <c r="F309" s="92" t="s">
        <v>2048</v>
      </c>
      <c r="G309" s="92" t="s">
        <v>29</v>
      </c>
      <c r="H309" s="92">
        <v>5</v>
      </c>
      <c r="I309" s="116" t="s">
        <v>29</v>
      </c>
      <c r="J309" s="89"/>
      <c r="K309" s="89"/>
      <c r="L309" s="89"/>
      <c r="M309" s="96" t="s">
        <v>933</v>
      </c>
      <c r="N309" s="108"/>
      <c r="O309" s="92">
        <v>1</v>
      </c>
      <c r="P309" s="93" t="s">
        <v>2065</v>
      </c>
      <c r="Q309" s="94" t="s">
        <v>421</v>
      </c>
      <c r="R309" s="92" t="s">
        <v>2048</v>
      </c>
      <c r="S309" s="92" t="s">
        <v>29</v>
      </c>
      <c r="T309" s="92">
        <v>5</v>
      </c>
      <c r="U309" s="116" t="s">
        <v>29</v>
      </c>
    </row>
    <row r="310" spans="1:21" ht="13.2" x14ac:dyDescent="0.25">
      <c r="A310" s="67" t="s">
        <v>29</v>
      </c>
      <c r="B310" s="108"/>
      <c r="C310" s="92" t="s">
        <v>29</v>
      </c>
      <c r="D310" s="93" t="s">
        <v>29</v>
      </c>
      <c r="E310" s="97" t="s">
        <v>29</v>
      </c>
      <c r="F310" s="92" t="s">
        <v>29</v>
      </c>
      <c r="G310" s="92" t="s">
        <v>29</v>
      </c>
      <c r="H310" s="92" t="s">
        <v>29</v>
      </c>
      <c r="I310" s="116" t="s">
        <v>29</v>
      </c>
      <c r="J310" s="89"/>
      <c r="K310" s="89"/>
      <c r="L310" s="89"/>
      <c r="M310" s="96" t="s">
        <v>29</v>
      </c>
      <c r="N310" s="108"/>
      <c r="O310" s="92" t="s">
        <v>29</v>
      </c>
      <c r="P310" s="93" t="s">
        <v>29</v>
      </c>
      <c r="Q310" s="97" t="s">
        <v>29</v>
      </c>
      <c r="R310" s="92" t="s">
        <v>29</v>
      </c>
      <c r="S310" s="92" t="s">
        <v>29</v>
      </c>
      <c r="T310" s="92" t="s">
        <v>29</v>
      </c>
      <c r="U310" s="116" t="s">
        <v>29</v>
      </c>
    </row>
    <row r="311" spans="1:21" ht="13.2" x14ac:dyDescent="0.25">
      <c r="A311" s="67" t="s">
        <v>29</v>
      </c>
      <c r="B311" s="108"/>
      <c r="C311" s="92" t="s">
        <v>29</v>
      </c>
      <c r="D311" s="93" t="s">
        <v>29</v>
      </c>
      <c r="E311" s="97" t="s">
        <v>29</v>
      </c>
      <c r="F311" s="92" t="s">
        <v>29</v>
      </c>
      <c r="G311" s="92" t="s">
        <v>29</v>
      </c>
      <c r="H311" s="92" t="s">
        <v>29</v>
      </c>
      <c r="I311" s="116" t="s">
        <v>29</v>
      </c>
      <c r="J311" s="89"/>
      <c r="K311" s="89"/>
      <c r="L311" s="89"/>
      <c r="M311" s="96" t="s">
        <v>29</v>
      </c>
      <c r="N311" s="108"/>
      <c r="O311" s="92" t="s">
        <v>29</v>
      </c>
      <c r="P311" s="93" t="s">
        <v>29</v>
      </c>
      <c r="Q311" s="97" t="s">
        <v>29</v>
      </c>
      <c r="R311" s="92" t="s">
        <v>29</v>
      </c>
      <c r="S311" s="92" t="s">
        <v>29</v>
      </c>
      <c r="T311" s="92" t="s">
        <v>29</v>
      </c>
      <c r="U311" s="116" t="s">
        <v>29</v>
      </c>
    </row>
    <row r="312" spans="1:21" ht="13.2" x14ac:dyDescent="0.25">
      <c r="A312" s="67" t="s">
        <v>29</v>
      </c>
      <c r="B312" s="108"/>
      <c r="C312" s="92" t="s">
        <v>29</v>
      </c>
      <c r="D312" s="93" t="s">
        <v>29</v>
      </c>
      <c r="E312" s="97" t="s">
        <v>29</v>
      </c>
      <c r="F312" s="92" t="s">
        <v>29</v>
      </c>
      <c r="G312" s="92" t="s">
        <v>29</v>
      </c>
      <c r="H312" s="92" t="s">
        <v>29</v>
      </c>
      <c r="I312" s="116" t="s">
        <v>29</v>
      </c>
      <c r="J312" s="89"/>
      <c r="K312" s="89"/>
      <c r="L312" s="89"/>
      <c r="M312" s="96" t="s">
        <v>29</v>
      </c>
      <c r="N312" s="108"/>
      <c r="O312" s="92" t="s">
        <v>29</v>
      </c>
      <c r="P312" s="93" t="s">
        <v>29</v>
      </c>
      <c r="Q312" s="97" t="s">
        <v>29</v>
      </c>
      <c r="R312" s="92" t="s">
        <v>29</v>
      </c>
      <c r="S312" s="92" t="s">
        <v>29</v>
      </c>
      <c r="T312" s="92" t="s">
        <v>29</v>
      </c>
      <c r="U312" s="116" t="s">
        <v>29</v>
      </c>
    </row>
    <row r="313" spans="1:21" ht="13.2" x14ac:dyDescent="0.25">
      <c r="A313" s="67" t="s">
        <v>29</v>
      </c>
      <c r="B313" s="108"/>
      <c r="C313" s="92" t="s">
        <v>29</v>
      </c>
      <c r="D313" s="93" t="s">
        <v>29</v>
      </c>
      <c r="E313" s="97" t="s">
        <v>29</v>
      </c>
      <c r="F313" s="92" t="s">
        <v>29</v>
      </c>
      <c r="G313" s="92" t="s">
        <v>29</v>
      </c>
      <c r="H313" s="92" t="s">
        <v>29</v>
      </c>
      <c r="I313" s="116" t="s">
        <v>29</v>
      </c>
      <c r="J313" s="89"/>
      <c r="K313" s="89"/>
      <c r="L313" s="89"/>
      <c r="M313" s="96" t="s">
        <v>29</v>
      </c>
      <c r="N313" s="108"/>
      <c r="O313" s="92" t="s">
        <v>29</v>
      </c>
      <c r="P313" s="93" t="s">
        <v>29</v>
      </c>
      <c r="Q313" s="97" t="s">
        <v>29</v>
      </c>
      <c r="R313" s="92" t="s">
        <v>29</v>
      </c>
      <c r="S313" s="92" t="s">
        <v>29</v>
      </c>
      <c r="T313" s="92" t="s">
        <v>29</v>
      </c>
      <c r="U313" s="116" t="s">
        <v>29</v>
      </c>
    </row>
    <row r="314" spans="1:21" ht="13.2" x14ac:dyDescent="0.25">
      <c r="A314" s="67" t="s">
        <v>29</v>
      </c>
      <c r="B314" s="108"/>
      <c r="C314" s="92" t="s">
        <v>29</v>
      </c>
      <c r="D314" s="93" t="s">
        <v>29</v>
      </c>
      <c r="E314" s="97" t="s">
        <v>29</v>
      </c>
      <c r="F314" s="92" t="s">
        <v>29</v>
      </c>
      <c r="G314" s="92" t="s">
        <v>29</v>
      </c>
      <c r="H314" s="92" t="s">
        <v>29</v>
      </c>
      <c r="I314" s="116" t="s">
        <v>29</v>
      </c>
      <c r="J314" s="89"/>
      <c r="K314" s="89"/>
      <c r="L314" s="89"/>
      <c r="M314" s="96" t="s">
        <v>29</v>
      </c>
      <c r="N314" s="108"/>
      <c r="O314" s="92" t="s">
        <v>29</v>
      </c>
      <c r="P314" s="93" t="s">
        <v>29</v>
      </c>
      <c r="Q314" s="97" t="s">
        <v>29</v>
      </c>
      <c r="R314" s="92" t="s">
        <v>29</v>
      </c>
      <c r="S314" s="92" t="s">
        <v>29</v>
      </c>
      <c r="T314" s="92" t="s">
        <v>29</v>
      </c>
      <c r="U314" s="116" t="s">
        <v>29</v>
      </c>
    </row>
    <row r="315" spans="1:21" ht="13.2" x14ac:dyDescent="0.25">
      <c r="A315" s="67" t="s">
        <v>29</v>
      </c>
      <c r="B315" s="108"/>
      <c r="C315" s="92" t="s">
        <v>29</v>
      </c>
      <c r="D315" s="93" t="s">
        <v>29</v>
      </c>
      <c r="E315" s="97" t="s">
        <v>29</v>
      </c>
      <c r="F315" s="92" t="s">
        <v>29</v>
      </c>
      <c r="G315" s="92" t="s">
        <v>29</v>
      </c>
      <c r="H315" s="92" t="s">
        <v>29</v>
      </c>
      <c r="I315" s="116" t="s">
        <v>29</v>
      </c>
      <c r="J315" s="89"/>
      <c r="K315" s="89"/>
      <c r="L315" s="89"/>
      <c r="M315" s="96" t="s">
        <v>29</v>
      </c>
      <c r="N315" s="108"/>
      <c r="O315" s="92" t="s">
        <v>29</v>
      </c>
      <c r="P315" s="93" t="s">
        <v>29</v>
      </c>
      <c r="Q315" s="97" t="s">
        <v>29</v>
      </c>
      <c r="R315" s="92" t="s">
        <v>29</v>
      </c>
      <c r="S315" s="92" t="s">
        <v>29</v>
      </c>
      <c r="T315" s="92" t="s">
        <v>29</v>
      </c>
      <c r="U315" s="116" t="s">
        <v>29</v>
      </c>
    </row>
    <row r="316" spans="1:21" ht="13.2" x14ac:dyDescent="0.25">
      <c r="A316" s="67" t="s">
        <v>29</v>
      </c>
      <c r="B316" s="108"/>
      <c r="C316" s="92" t="s">
        <v>29</v>
      </c>
      <c r="D316" s="93" t="s">
        <v>29</v>
      </c>
      <c r="E316" s="97" t="s">
        <v>29</v>
      </c>
      <c r="F316" s="92" t="s">
        <v>29</v>
      </c>
      <c r="G316" s="92" t="s">
        <v>29</v>
      </c>
      <c r="H316" s="92" t="s">
        <v>29</v>
      </c>
      <c r="I316" s="116" t="s">
        <v>29</v>
      </c>
      <c r="J316" s="89"/>
      <c r="K316" s="89"/>
      <c r="L316" s="89"/>
      <c r="M316" s="96" t="s">
        <v>29</v>
      </c>
      <c r="N316" s="108"/>
      <c r="O316" s="92" t="s">
        <v>29</v>
      </c>
      <c r="P316" s="93" t="s">
        <v>29</v>
      </c>
      <c r="Q316" s="97" t="s">
        <v>29</v>
      </c>
      <c r="R316" s="92" t="s">
        <v>29</v>
      </c>
      <c r="S316" s="92" t="s">
        <v>29</v>
      </c>
      <c r="T316" s="92" t="s">
        <v>29</v>
      </c>
      <c r="U316" s="116" t="s">
        <v>29</v>
      </c>
    </row>
    <row r="317" spans="1:21" ht="13.2" x14ac:dyDescent="0.25">
      <c r="A317" s="67" t="s">
        <v>29</v>
      </c>
      <c r="B317" s="108"/>
      <c r="C317" s="92" t="s">
        <v>29</v>
      </c>
      <c r="D317" s="93" t="s">
        <v>29</v>
      </c>
      <c r="E317" s="97" t="s">
        <v>29</v>
      </c>
      <c r="F317" s="92" t="s">
        <v>29</v>
      </c>
      <c r="G317" s="92" t="s">
        <v>29</v>
      </c>
      <c r="H317" s="92" t="s">
        <v>29</v>
      </c>
      <c r="I317" s="116" t="s">
        <v>29</v>
      </c>
      <c r="J317" s="89"/>
      <c r="K317" s="89"/>
      <c r="L317" s="89"/>
      <c r="M317" s="96" t="s">
        <v>29</v>
      </c>
      <c r="N317" s="108"/>
      <c r="O317" s="92" t="s">
        <v>29</v>
      </c>
      <c r="P317" s="93" t="s">
        <v>29</v>
      </c>
      <c r="Q317" s="97" t="s">
        <v>29</v>
      </c>
      <c r="R317" s="92" t="s">
        <v>29</v>
      </c>
      <c r="S317" s="92" t="s">
        <v>29</v>
      </c>
      <c r="T317" s="92" t="s">
        <v>29</v>
      </c>
      <c r="U317" s="116" t="s">
        <v>29</v>
      </c>
    </row>
    <row r="318" spans="1:21" ht="13.2" x14ac:dyDescent="0.25">
      <c r="A318" s="67"/>
      <c r="B318" s="108"/>
      <c r="C318" s="92" t="s">
        <v>29</v>
      </c>
      <c r="D318" s="93" t="s">
        <v>29</v>
      </c>
      <c r="E318" s="97" t="s">
        <v>29</v>
      </c>
      <c r="F318" s="92" t="s">
        <v>29</v>
      </c>
      <c r="G318" s="92" t="s">
        <v>29</v>
      </c>
      <c r="H318" s="92" t="s">
        <v>29</v>
      </c>
      <c r="I318" s="116" t="s">
        <v>29</v>
      </c>
      <c r="J318" s="89"/>
      <c r="K318" s="89"/>
      <c r="L318" s="89"/>
      <c r="M318" s="96"/>
      <c r="N318" s="108"/>
      <c r="O318" s="92" t="s">
        <v>29</v>
      </c>
      <c r="P318" s="98" t="s">
        <v>29</v>
      </c>
      <c r="Q318" s="97" t="s">
        <v>29</v>
      </c>
      <c r="R318" s="92" t="s">
        <v>29</v>
      </c>
      <c r="S318" s="92" t="s">
        <v>29</v>
      </c>
      <c r="T318" s="92" t="s">
        <v>29</v>
      </c>
      <c r="U318" s="116" t="s">
        <v>29</v>
      </c>
    </row>
    <row r="319" spans="1:21" ht="13.2" x14ac:dyDescent="0.25">
      <c r="A319" s="67"/>
      <c r="B319" s="108"/>
      <c r="C319" s="92" t="s">
        <v>29</v>
      </c>
      <c r="D319" s="93" t="s">
        <v>29</v>
      </c>
      <c r="E319" s="97" t="s">
        <v>29</v>
      </c>
      <c r="F319" s="92" t="s">
        <v>29</v>
      </c>
      <c r="G319" s="92" t="s">
        <v>29</v>
      </c>
      <c r="H319" s="92" t="s">
        <v>29</v>
      </c>
      <c r="I319" s="116" t="s">
        <v>29</v>
      </c>
      <c r="J319" s="89"/>
      <c r="K319" s="89"/>
      <c r="L319" s="89"/>
      <c r="M319" s="96"/>
      <c r="N319" s="108"/>
      <c r="O319" s="92" t="s">
        <v>29</v>
      </c>
      <c r="P319" s="98" t="s">
        <v>29</v>
      </c>
      <c r="Q319" s="97" t="s">
        <v>29</v>
      </c>
      <c r="R319" s="92" t="s">
        <v>29</v>
      </c>
      <c r="S319" s="92" t="s">
        <v>29</v>
      </c>
      <c r="T319" s="92" t="s">
        <v>29</v>
      </c>
      <c r="U319" s="116" t="s">
        <v>29</v>
      </c>
    </row>
    <row r="320" spans="1:21" ht="13.2" x14ac:dyDescent="0.25">
      <c r="A320" s="67"/>
      <c r="B320" s="108"/>
      <c r="C320" s="92" t="s">
        <v>29</v>
      </c>
      <c r="D320" s="98" t="s">
        <v>29</v>
      </c>
      <c r="E320" s="97" t="s">
        <v>29</v>
      </c>
      <c r="F320" s="92" t="s">
        <v>29</v>
      </c>
      <c r="G320" s="92" t="s">
        <v>29</v>
      </c>
      <c r="H320" s="92" t="s">
        <v>29</v>
      </c>
      <c r="I320" s="116" t="s">
        <v>29</v>
      </c>
      <c r="J320" s="89"/>
      <c r="K320" s="89"/>
      <c r="L320" s="89"/>
      <c r="M320" s="96"/>
      <c r="N320" s="108"/>
      <c r="O320" s="92" t="s">
        <v>29</v>
      </c>
      <c r="P320" s="98" t="s">
        <v>29</v>
      </c>
      <c r="Q320" s="97" t="s">
        <v>29</v>
      </c>
      <c r="R320" s="92" t="s">
        <v>29</v>
      </c>
      <c r="S320" s="92" t="s">
        <v>29</v>
      </c>
      <c r="T320" s="92" t="s">
        <v>29</v>
      </c>
      <c r="U320" s="116" t="s">
        <v>29</v>
      </c>
    </row>
    <row r="321" spans="1:21" ht="13.2" x14ac:dyDescent="0.25">
      <c r="A321" s="67"/>
      <c r="B321" s="108"/>
      <c r="C321" s="92" t="s">
        <v>29</v>
      </c>
      <c r="D321" s="98" t="s">
        <v>29</v>
      </c>
      <c r="E321" s="97" t="s">
        <v>29</v>
      </c>
      <c r="F321" s="92" t="s">
        <v>29</v>
      </c>
      <c r="G321" s="92" t="s">
        <v>29</v>
      </c>
      <c r="H321" s="92" t="s">
        <v>29</v>
      </c>
      <c r="I321" s="116" t="s">
        <v>29</v>
      </c>
      <c r="J321" s="89"/>
      <c r="K321" s="89"/>
      <c r="L321" s="89"/>
      <c r="M321" s="96"/>
      <c r="N321" s="108"/>
      <c r="O321" s="92" t="s">
        <v>29</v>
      </c>
      <c r="P321" s="98" t="s">
        <v>29</v>
      </c>
      <c r="Q321" s="97" t="s">
        <v>29</v>
      </c>
      <c r="R321" s="92" t="s">
        <v>29</v>
      </c>
      <c r="S321" s="92" t="s">
        <v>29</v>
      </c>
      <c r="T321" s="92" t="s">
        <v>29</v>
      </c>
      <c r="U321" s="116" t="s">
        <v>29</v>
      </c>
    </row>
    <row r="322" spans="1:21" ht="13.2" x14ac:dyDescent="0.25">
      <c r="A322" s="67"/>
      <c r="B322" s="108"/>
      <c r="C322" s="92" t="s">
        <v>29</v>
      </c>
      <c r="D322" s="98" t="s">
        <v>29</v>
      </c>
      <c r="E322" s="97" t="s">
        <v>29</v>
      </c>
      <c r="F322" s="92" t="s">
        <v>29</v>
      </c>
      <c r="G322" s="92" t="s">
        <v>29</v>
      </c>
      <c r="H322" s="92" t="s">
        <v>29</v>
      </c>
      <c r="I322" s="116" t="s">
        <v>29</v>
      </c>
      <c r="J322" s="89"/>
      <c r="K322" s="89"/>
      <c r="L322" s="89"/>
      <c r="M322" s="96"/>
      <c r="N322" s="108"/>
      <c r="O322" s="92" t="s">
        <v>29</v>
      </c>
      <c r="P322" s="98" t="s">
        <v>29</v>
      </c>
      <c r="Q322" s="97" t="s">
        <v>29</v>
      </c>
      <c r="R322" s="92" t="s">
        <v>29</v>
      </c>
      <c r="S322" s="92" t="s">
        <v>29</v>
      </c>
      <c r="T322" s="92" t="s">
        <v>29</v>
      </c>
      <c r="U322" s="116" t="s">
        <v>29</v>
      </c>
    </row>
    <row r="323" spans="1:21" ht="13.2" x14ac:dyDescent="0.25">
      <c r="A323" s="67" t="s">
        <v>29</v>
      </c>
      <c r="B323" s="108"/>
      <c r="C323" s="92" t="s">
        <v>29</v>
      </c>
      <c r="D323" s="98" t="s">
        <v>29</v>
      </c>
      <c r="E323" s="97" t="s">
        <v>29</v>
      </c>
      <c r="F323" s="92" t="s">
        <v>29</v>
      </c>
      <c r="G323" s="92" t="s">
        <v>29</v>
      </c>
      <c r="H323" s="92" t="s">
        <v>29</v>
      </c>
      <c r="I323" s="116" t="s">
        <v>29</v>
      </c>
      <c r="J323" s="89"/>
      <c r="K323" s="89"/>
      <c r="L323" s="89"/>
      <c r="M323" s="96" t="s">
        <v>29</v>
      </c>
      <c r="N323" s="108"/>
      <c r="O323" s="92" t="s">
        <v>29</v>
      </c>
      <c r="P323" s="98" t="s">
        <v>29</v>
      </c>
      <c r="Q323" s="97" t="s">
        <v>29</v>
      </c>
      <c r="R323" s="92" t="s">
        <v>29</v>
      </c>
      <c r="S323" s="92" t="s">
        <v>29</v>
      </c>
      <c r="T323" s="92" t="s">
        <v>29</v>
      </c>
      <c r="U323" s="116" t="s">
        <v>29</v>
      </c>
    </row>
    <row r="324" spans="1:21" ht="13.2" x14ac:dyDescent="0.25">
      <c r="A324" s="67" t="s">
        <v>29</v>
      </c>
      <c r="B324" s="108"/>
      <c r="C324" s="219" t="s">
        <v>995</v>
      </c>
      <c r="D324" s="220"/>
      <c r="E324" s="220"/>
      <c r="F324" s="220"/>
      <c r="G324" s="99">
        <v>0</v>
      </c>
      <c r="H324" s="99">
        <v>5</v>
      </c>
      <c r="I324" s="116" t="s">
        <v>29</v>
      </c>
      <c r="J324" s="89"/>
      <c r="K324" s="89"/>
      <c r="L324" s="89"/>
      <c r="M324" s="96" t="s">
        <v>29</v>
      </c>
      <c r="N324" s="108"/>
      <c r="O324" s="219" t="s">
        <v>996</v>
      </c>
      <c r="P324" s="220"/>
      <c r="Q324" s="220"/>
      <c r="R324" s="220"/>
      <c r="S324" s="99">
        <v>0</v>
      </c>
      <c r="T324" s="99">
        <v>5</v>
      </c>
      <c r="U324" s="116" t="s">
        <v>29</v>
      </c>
    </row>
    <row r="325" spans="1:21" ht="13.2" x14ac:dyDescent="0.25">
      <c r="A325" s="67"/>
      <c r="B325" s="66"/>
      <c r="C325" s="117"/>
      <c r="D325" s="66"/>
      <c r="E325" s="66"/>
      <c r="F325" s="66"/>
      <c r="G325" s="66"/>
      <c r="H325" s="66"/>
      <c r="I325" s="66" t="s">
        <v>29</v>
      </c>
      <c r="J325" s="66"/>
      <c r="K325" s="66"/>
      <c r="L325" s="66"/>
      <c r="M325" s="74"/>
      <c r="N325" s="66"/>
      <c r="O325" s="66"/>
      <c r="P325" s="66"/>
      <c r="Q325" s="66"/>
      <c r="R325" s="66"/>
      <c r="S325" s="66"/>
      <c r="T325" s="66"/>
      <c r="U325" s="66" t="s">
        <v>29</v>
      </c>
    </row>
    <row r="326" spans="1:21" ht="13.2" x14ac:dyDescent="0.25">
      <c r="A326" s="67"/>
      <c r="B326" s="66"/>
      <c r="C326" s="118" t="s">
        <v>997</v>
      </c>
      <c r="D326" s="89"/>
      <c r="E326" s="89"/>
      <c r="F326" s="89"/>
      <c r="G326" s="89"/>
      <c r="H326" s="89"/>
      <c r="I326" s="89" t="s">
        <v>29</v>
      </c>
      <c r="J326" s="89"/>
      <c r="K326" s="89"/>
      <c r="L326" s="89"/>
      <c r="M326" s="96"/>
      <c r="N326" s="119"/>
      <c r="O326" s="120" t="s">
        <v>998</v>
      </c>
      <c r="P326" s="119"/>
      <c r="Q326" s="221" t="s">
        <v>2066</v>
      </c>
      <c r="R326" s="220"/>
      <c r="S326" s="220"/>
      <c r="T326" s="222"/>
      <c r="U326" s="66" t="s">
        <v>29</v>
      </c>
    </row>
    <row r="327" spans="1:21" ht="13.2" x14ac:dyDescent="0.25">
      <c r="A327" s="67"/>
      <c r="B327" s="66"/>
      <c r="C327" s="245" t="s">
        <v>2067</v>
      </c>
      <c r="D327" s="227"/>
      <c r="E327" s="227"/>
      <c r="F327" s="227"/>
      <c r="G327" s="227"/>
      <c r="H327" s="228"/>
      <c r="I327" s="89" t="s">
        <v>29</v>
      </c>
      <c r="J327" s="89"/>
      <c r="K327" s="89"/>
      <c r="L327" s="89"/>
      <c r="M327" s="96"/>
      <c r="N327" s="119"/>
      <c r="O327" s="120" t="s">
        <v>1001</v>
      </c>
      <c r="P327" s="121"/>
      <c r="Q327" s="221" t="s">
        <v>2068</v>
      </c>
      <c r="R327" s="220"/>
      <c r="S327" s="220"/>
      <c r="T327" s="222"/>
      <c r="U327" s="66" t="s">
        <v>29</v>
      </c>
    </row>
    <row r="328" spans="1:21" ht="13.2" x14ac:dyDescent="0.25">
      <c r="A328" s="67"/>
      <c r="B328" s="66"/>
      <c r="C328" s="231"/>
      <c r="D328" s="232"/>
      <c r="E328" s="232"/>
      <c r="F328" s="232"/>
      <c r="G328" s="232"/>
      <c r="H328" s="233"/>
      <c r="I328" s="89" t="s">
        <v>29</v>
      </c>
      <c r="J328" s="89"/>
      <c r="K328" s="89"/>
      <c r="L328" s="89"/>
      <c r="M328" s="96"/>
      <c r="N328" s="119"/>
      <c r="O328" s="120"/>
      <c r="P328" s="121"/>
      <c r="Q328" s="223"/>
      <c r="R328" s="224"/>
      <c r="S328" s="224"/>
      <c r="T328" s="224"/>
      <c r="U328" s="66" t="s">
        <v>29</v>
      </c>
    </row>
    <row r="329" spans="1:21" ht="13.2" x14ac:dyDescent="0.25">
      <c r="A329" s="67"/>
      <c r="B329" s="66"/>
      <c r="C329" s="118" t="s">
        <v>1003</v>
      </c>
      <c r="D329" s="122"/>
      <c r="E329" s="225" t="s">
        <v>2069</v>
      </c>
      <c r="F329" s="220"/>
      <c r="G329" s="220"/>
      <c r="H329" s="222"/>
      <c r="I329" s="89" t="s">
        <v>29</v>
      </c>
      <c r="J329" s="89"/>
      <c r="K329" s="89"/>
      <c r="L329" s="89"/>
      <c r="M329" s="96"/>
      <c r="N329" s="119"/>
      <c r="O329" s="118" t="s">
        <v>1004</v>
      </c>
      <c r="P329" s="122"/>
      <c r="Q329" s="225" t="s">
        <v>2070</v>
      </c>
      <c r="R329" s="220"/>
      <c r="S329" s="220"/>
      <c r="T329" s="222"/>
      <c r="U329" s="66" t="s">
        <v>29</v>
      </c>
    </row>
    <row r="330" spans="1:21" ht="13.2" x14ac:dyDescent="0.25">
      <c r="A330" s="67"/>
      <c r="B330" s="66"/>
      <c r="C330" s="118" t="s">
        <v>1006</v>
      </c>
      <c r="D330" s="122"/>
      <c r="E330" s="122"/>
      <c r="F330" s="122"/>
      <c r="G330" s="122"/>
      <c r="H330" s="122"/>
      <c r="I330" s="89" t="s">
        <v>29</v>
      </c>
      <c r="J330" s="89"/>
      <c r="K330" s="89"/>
      <c r="L330" s="89"/>
      <c r="M330" s="96"/>
      <c r="N330" s="119"/>
      <c r="O330" s="120" t="s">
        <v>1007</v>
      </c>
      <c r="P330" s="121"/>
      <c r="Q330" s="121"/>
      <c r="R330" s="121"/>
      <c r="S330" s="121"/>
      <c r="T330" s="121"/>
      <c r="U330" s="66" t="s">
        <v>29</v>
      </c>
    </row>
    <row r="331" spans="1:21" ht="13.2" x14ac:dyDescent="0.25">
      <c r="B331" s="66"/>
      <c r="C331" s="242"/>
      <c r="D331" s="227"/>
      <c r="E331" s="227"/>
      <c r="F331" s="227"/>
      <c r="G331" s="227"/>
      <c r="H331" s="228"/>
      <c r="I331" s="66" t="s">
        <v>29</v>
      </c>
      <c r="J331" s="66"/>
      <c r="K331" s="66"/>
      <c r="L331" s="66"/>
      <c r="M331" s="74"/>
      <c r="N331" s="123"/>
      <c r="O331" s="240"/>
      <c r="P331" s="227"/>
      <c r="Q331" s="227"/>
      <c r="R331" s="227"/>
      <c r="S331" s="227"/>
      <c r="T331" s="228"/>
      <c r="U331" s="66" t="s">
        <v>29</v>
      </c>
    </row>
    <row r="332" spans="1:21" ht="13.2" x14ac:dyDescent="0.25">
      <c r="B332" s="66"/>
      <c r="C332" s="229"/>
      <c r="D332" s="224"/>
      <c r="E332" s="224"/>
      <c r="F332" s="224"/>
      <c r="G332" s="224"/>
      <c r="H332" s="230"/>
      <c r="I332" s="66" t="s">
        <v>29</v>
      </c>
      <c r="J332" s="66"/>
      <c r="K332" s="66"/>
      <c r="L332" s="66"/>
      <c r="M332" s="74"/>
      <c r="N332" s="123"/>
      <c r="O332" s="229"/>
      <c r="P332" s="224"/>
      <c r="Q332" s="224"/>
      <c r="R332" s="224"/>
      <c r="S332" s="224"/>
      <c r="T332" s="230"/>
      <c r="U332" s="66" t="s">
        <v>29</v>
      </c>
    </row>
    <row r="333" spans="1:21" ht="13.2" x14ac:dyDescent="0.25">
      <c r="B333" s="66"/>
      <c r="C333" s="229"/>
      <c r="D333" s="224"/>
      <c r="E333" s="224"/>
      <c r="F333" s="224"/>
      <c r="G333" s="224"/>
      <c r="H333" s="230"/>
      <c r="I333" s="66" t="s">
        <v>29</v>
      </c>
      <c r="J333" s="66"/>
      <c r="K333" s="66"/>
      <c r="L333" s="66"/>
      <c r="M333" s="74"/>
      <c r="N333" s="123"/>
      <c r="O333" s="229"/>
      <c r="P333" s="224"/>
      <c r="Q333" s="224"/>
      <c r="R333" s="224"/>
      <c r="S333" s="224"/>
      <c r="T333" s="230"/>
      <c r="U333" s="66" t="s">
        <v>29</v>
      </c>
    </row>
    <row r="334" spans="1:21" ht="13.2" x14ac:dyDescent="0.25">
      <c r="B334" s="66"/>
      <c r="C334" s="231"/>
      <c r="D334" s="232"/>
      <c r="E334" s="232"/>
      <c r="F334" s="232"/>
      <c r="G334" s="232"/>
      <c r="H334" s="233"/>
      <c r="I334" s="66" t="s">
        <v>29</v>
      </c>
      <c r="J334" s="66"/>
      <c r="K334" s="66"/>
      <c r="L334" s="66"/>
      <c r="M334" s="74"/>
      <c r="N334" s="123"/>
      <c r="O334" s="231"/>
      <c r="P334" s="232"/>
      <c r="Q334" s="232"/>
      <c r="R334" s="232"/>
      <c r="S334" s="232"/>
      <c r="T334" s="233"/>
      <c r="U334" s="66" t="s">
        <v>29</v>
      </c>
    </row>
    <row r="335" spans="1:21" ht="13.2" x14ac:dyDescent="0.25">
      <c r="B335" s="66"/>
      <c r="C335" s="117"/>
      <c r="D335" s="66"/>
      <c r="E335" s="66"/>
      <c r="F335" s="66"/>
      <c r="G335" s="66"/>
      <c r="H335" s="66"/>
      <c r="I335" s="66" t="s">
        <v>29</v>
      </c>
      <c r="J335" s="66"/>
      <c r="K335" s="66"/>
      <c r="L335" s="66"/>
      <c r="M335" s="66"/>
      <c r="N335" s="66"/>
      <c r="O335" s="66"/>
      <c r="P335" s="66"/>
      <c r="Q335" s="66"/>
      <c r="R335" s="66"/>
      <c r="S335" s="66"/>
      <c r="T335" s="66"/>
      <c r="U335" s="66" t="s">
        <v>29</v>
      </c>
    </row>
    <row r="336" spans="1:21" ht="13.2" x14ac:dyDescent="0.25">
      <c r="B336" s="66"/>
      <c r="C336" s="117"/>
      <c r="D336" s="66"/>
      <c r="E336" s="66"/>
      <c r="F336" s="66"/>
      <c r="G336" s="66"/>
      <c r="H336" s="66"/>
      <c r="I336" s="66" t="s">
        <v>29</v>
      </c>
      <c r="J336" s="66"/>
      <c r="K336" s="66"/>
      <c r="L336" s="66"/>
      <c r="M336" s="66"/>
      <c r="N336" s="66"/>
      <c r="O336" s="66"/>
      <c r="P336" s="66"/>
      <c r="Q336" s="66"/>
      <c r="R336" s="66"/>
      <c r="S336" s="66"/>
      <c r="T336" s="66"/>
      <c r="U336" s="66" t="s">
        <v>29</v>
      </c>
    </row>
    <row r="337" spans="2:21" ht="13.2" x14ac:dyDescent="0.25">
      <c r="B337" s="66"/>
      <c r="C337" s="117"/>
      <c r="D337" s="66"/>
      <c r="E337" s="66"/>
      <c r="F337" s="66"/>
      <c r="G337" s="66"/>
      <c r="H337" s="66"/>
      <c r="I337" s="66" t="s">
        <v>29</v>
      </c>
      <c r="J337" s="66"/>
      <c r="K337" s="66"/>
      <c r="L337" s="66"/>
      <c r="M337" s="66"/>
      <c r="N337" s="66"/>
      <c r="O337" s="66"/>
      <c r="P337" s="66"/>
      <c r="Q337" s="66"/>
      <c r="R337" s="66"/>
      <c r="S337" s="66"/>
      <c r="T337" s="66"/>
      <c r="U337" s="66" t="s">
        <v>29</v>
      </c>
    </row>
    <row r="338" spans="2:21" ht="13.2" x14ac:dyDescent="0.25">
      <c r="B338" s="66"/>
      <c r="C338" s="117"/>
      <c r="D338" s="66"/>
      <c r="E338" s="66"/>
      <c r="F338" s="66"/>
      <c r="G338" s="66"/>
      <c r="H338" s="66"/>
      <c r="I338" s="66" t="s">
        <v>29</v>
      </c>
      <c r="J338" s="66"/>
      <c r="K338" s="66"/>
      <c r="L338" s="66"/>
      <c r="M338" s="66"/>
      <c r="N338" s="66"/>
      <c r="O338" s="66"/>
      <c r="P338" s="66"/>
      <c r="Q338" s="66"/>
      <c r="R338" s="66"/>
      <c r="S338" s="66"/>
      <c r="T338" s="66"/>
      <c r="U338" s="66" t="s">
        <v>29</v>
      </c>
    </row>
    <row r="339" spans="2:21" ht="13.2" x14ac:dyDescent="0.25">
      <c r="B339" s="66"/>
      <c r="C339" s="117"/>
      <c r="D339" s="66"/>
      <c r="E339" s="66"/>
      <c r="F339" s="66"/>
      <c r="G339" s="66"/>
      <c r="H339" s="66"/>
      <c r="I339" s="66" t="s">
        <v>29</v>
      </c>
      <c r="J339" s="66"/>
      <c r="K339" s="66"/>
      <c r="L339" s="66"/>
      <c r="M339" s="66"/>
      <c r="N339" s="66"/>
      <c r="O339" s="66"/>
      <c r="P339" s="66"/>
      <c r="Q339" s="66"/>
      <c r="R339" s="66"/>
      <c r="S339" s="66"/>
      <c r="T339" s="66"/>
      <c r="U339" s="66" t="s">
        <v>29</v>
      </c>
    </row>
    <row r="340" spans="2:21" ht="13.2" x14ac:dyDescent="0.25">
      <c r="B340" s="66"/>
      <c r="C340" s="117"/>
      <c r="D340" s="66"/>
      <c r="E340" s="66"/>
      <c r="F340" s="66"/>
      <c r="G340" s="66"/>
      <c r="H340" s="66"/>
      <c r="I340" s="66" t="s">
        <v>29</v>
      </c>
      <c r="J340" s="66"/>
      <c r="K340" s="66"/>
      <c r="L340" s="66"/>
      <c r="M340" s="66"/>
      <c r="N340" s="66"/>
      <c r="O340" s="66"/>
      <c r="P340" s="66"/>
      <c r="Q340" s="66"/>
      <c r="R340" s="66"/>
      <c r="S340" s="66"/>
      <c r="T340" s="66"/>
      <c r="U340" s="66" t="s">
        <v>29</v>
      </c>
    </row>
    <row r="341" spans="2:21" ht="13.2" x14ac:dyDescent="0.25">
      <c r="B341" s="66"/>
      <c r="C341" s="117"/>
      <c r="D341" s="66"/>
      <c r="E341" s="66"/>
      <c r="F341" s="66"/>
      <c r="G341" s="66"/>
      <c r="H341" s="66"/>
      <c r="I341" s="66"/>
      <c r="J341" s="66"/>
      <c r="K341" s="66"/>
      <c r="L341" s="66"/>
      <c r="M341" s="66"/>
      <c r="N341" s="66"/>
      <c r="O341" s="66"/>
      <c r="P341" s="66"/>
      <c r="Q341" s="66"/>
      <c r="R341" s="66"/>
      <c r="S341" s="66"/>
      <c r="T341" s="66"/>
      <c r="U341" s="66"/>
    </row>
    <row r="342" spans="2:21" ht="13.2" x14ac:dyDescent="0.25">
      <c r="B342" s="66"/>
      <c r="C342" s="117"/>
      <c r="D342" s="66"/>
      <c r="E342" s="66"/>
      <c r="F342" s="66"/>
      <c r="G342" s="66"/>
      <c r="H342" s="66"/>
      <c r="I342" s="66"/>
      <c r="J342" s="66"/>
      <c r="K342" s="66"/>
      <c r="L342" s="66"/>
      <c r="M342" s="66"/>
      <c r="N342" s="66"/>
      <c r="O342" s="66"/>
      <c r="P342" s="66"/>
      <c r="Q342" s="66"/>
      <c r="R342" s="66"/>
      <c r="S342" s="66"/>
      <c r="T342" s="66"/>
      <c r="U342" s="66"/>
    </row>
    <row r="343" spans="2:21" ht="13.2" x14ac:dyDescent="0.25">
      <c r="B343" s="66"/>
      <c r="C343" s="117"/>
      <c r="D343" s="66"/>
      <c r="E343" s="66"/>
      <c r="F343" s="66"/>
      <c r="G343" s="66"/>
      <c r="H343" s="66"/>
      <c r="I343" s="66"/>
      <c r="J343" s="66"/>
      <c r="K343" s="66"/>
      <c r="L343" s="66"/>
      <c r="M343" s="66"/>
      <c r="N343" s="66"/>
      <c r="O343" s="66"/>
      <c r="P343" s="66"/>
      <c r="Q343" s="66"/>
      <c r="R343" s="66"/>
      <c r="S343" s="66"/>
      <c r="T343" s="66"/>
      <c r="U343" s="66"/>
    </row>
    <row r="344" spans="2:21" ht="13.2" x14ac:dyDescent="0.25">
      <c r="B344" s="66"/>
      <c r="C344" s="117"/>
      <c r="D344" s="66"/>
      <c r="E344" s="66"/>
      <c r="F344" s="66"/>
      <c r="G344" s="66"/>
      <c r="H344" s="66"/>
      <c r="I344" s="66"/>
      <c r="J344" s="66"/>
      <c r="K344" s="66"/>
      <c r="L344" s="66"/>
      <c r="M344" s="66"/>
      <c r="N344" s="66"/>
      <c r="O344" s="66"/>
      <c r="P344" s="66"/>
      <c r="Q344" s="66"/>
      <c r="R344" s="66"/>
      <c r="S344" s="66"/>
      <c r="T344" s="66"/>
      <c r="U344" s="66"/>
    </row>
    <row r="345" spans="2:21" ht="13.2" x14ac:dyDescent="0.25">
      <c r="B345" s="66"/>
      <c r="C345" s="117"/>
      <c r="D345" s="66"/>
      <c r="E345" s="66"/>
      <c r="F345" s="66"/>
      <c r="G345" s="66"/>
      <c r="H345" s="66"/>
      <c r="I345" s="66"/>
      <c r="J345" s="66"/>
      <c r="K345" s="66"/>
      <c r="L345" s="66"/>
      <c r="M345" s="66"/>
      <c r="N345" s="66"/>
      <c r="O345" s="66"/>
      <c r="P345" s="66"/>
      <c r="Q345" s="66"/>
      <c r="R345" s="66"/>
      <c r="S345" s="66"/>
      <c r="T345" s="66"/>
      <c r="U345" s="66"/>
    </row>
    <row r="346" spans="2:21" ht="13.2" x14ac:dyDescent="0.25">
      <c r="B346" s="66"/>
      <c r="C346" s="117"/>
      <c r="D346" s="66"/>
      <c r="E346" s="66"/>
      <c r="F346" s="66"/>
      <c r="G346" s="66"/>
      <c r="H346" s="66"/>
      <c r="I346" s="66"/>
      <c r="J346" s="66"/>
      <c r="K346" s="66"/>
      <c r="L346" s="66"/>
      <c r="M346" s="66"/>
      <c r="N346" s="66"/>
      <c r="O346" s="66"/>
      <c r="P346" s="66"/>
      <c r="Q346" s="66"/>
      <c r="R346" s="66"/>
      <c r="S346" s="66"/>
      <c r="T346" s="66"/>
      <c r="U346" s="66"/>
    </row>
    <row r="347" spans="2:21" ht="13.2" x14ac:dyDescent="0.25">
      <c r="B347" s="66"/>
      <c r="C347" s="117"/>
      <c r="D347" s="66"/>
      <c r="E347" s="66"/>
      <c r="F347" s="66"/>
      <c r="G347" s="66"/>
      <c r="H347" s="66"/>
      <c r="I347" s="66"/>
      <c r="J347" s="66"/>
      <c r="K347" s="66"/>
      <c r="L347" s="66"/>
      <c r="M347" s="66"/>
      <c r="N347" s="66"/>
      <c r="O347" s="66"/>
      <c r="P347" s="66"/>
      <c r="Q347" s="66"/>
      <c r="R347" s="66"/>
      <c r="S347" s="66"/>
      <c r="T347" s="66"/>
      <c r="U347" s="66"/>
    </row>
    <row r="348" spans="2:21" ht="13.2" x14ac:dyDescent="0.25">
      <c r="B348" s="66"/>
      <c r="C348" s="117"/>
      <c r="D348" s="66"/>
      <c r="E348" s="66"/>
      <c r="F348" s="66"/>
      <c r="G348" s="66"/>
      <c r="H348" s="66"/>
      <c r="I348" s="66"/>
      <c r="J348" s="66"/>
      <c r="K348" s="66"/>
      <c r="L348" s="66"/>
      <c r="M348" s="66"/>
      <c r="N348" s="66"/>
      <c r="O348" s="66"/>
      <c r="P348" s="66"/>
      <c r="Q348" s="66"/>
      <c r="R348" s="66"/>
      <c r="S348" s="66"/>
      <c r="T348" s="66"/>
      <c r="U348" s="66"/>
    </row>
    <row r="349" spans="2:21" ht="13.2" x14ac:dyDescent="0.25">
      <c r="B349" s="66"/>
      <c r="C349" s="117"/>
      <c r="D349" s="66"/>
      <c r="E349" s="66"/>
      <c r="F349" s="66"/>
      <c r="G349" s="66"/>
      <c r="H349" s="66"/>
      <c r="I349" s="66"/>
      <c r="J349" s="66"/>
      <c r="K349" s="66"/>
      <c r="L349" s="66"/>
      <c r="M349" s="66"/>
      <c r="N349" s="66"/>
      <c r="O349" s="66"/>
      <c r="P349" s="66"/>
      <c r="Q349" s="66"/>
      <c r="R349" s="66"/>
      <c r="S349" s="66"/>
      <c r="T349" s="66"/>
      <c r="U349" s="66"/>
    </row>
  </sheetData>
  <mergeCells count="95">
    <mergeCell ref="C120:D120"/>
    <mergeCell ref="E120:G120"/>
    <mergeCell ref="C157:F157"/>
    <mergeCell ref="C176:F176"/>
    <mergeCell ref="O229:P229"/>
    <mergeCell ref="C229:D229"/>
    <mergeCell ref="E229:G229"/>
    <mergeCell ref="C195:F195"/>
    <mergeCell ref="C214:F214"/>
    <mergeCell ref="C217:H218"/>
    <mergeCell ref="E219:H219"/>
    <mergeCell ref="C221:H224"/>
    <mergeCell ref="O176:R176"/>
    <mergeCell ref="O195:R195"/>
    <mergeCell ref="O214:R214"/>
    <mergeCell ref="Q216:T216"/>
    <mergeCell ref="C104:F104"/>
    <mergeCell ref="C107:H108"/>
    <mergeCell ref="E109:H109"/>
    <mergeCell ref="C111:H114"/>
    <mergeCell ref="C119:D119"/>
    <mergeCell ref="E119:G119"/>
    <mergeCell ref="O47:R47"/>
    <mergeCell ref="C10:D10"/>
    <mergeCell ref="C47:F47"/>
    <mergeCell ref="C66:F66"/>
    <mergeCell ref="C85:F85"/>
    <mergeCell ref="O66:R66"/>
    <mergeCell ref="O85:R85"/>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R1:T1"/>
    <mergeCell ref="B2:C2"/>
    <mergeCell ref="F2:H2"/>
    <mergeCell ref="I2:K2"/>
    <mergeCell ref="D3:E3"/>
    <mergeCell ref="F3:H3"/>
    <mergeCell ref="R2:T2"/>
    <mergeCell ref="P3:Q3"/>
    <mergeCell ref="R3:T3"/>
    <mergeCell ref="E329:H329"/>
    <mergeCell ref="C331:H334"/>
    <mergeCell ref="C230:D230"/>
    <mergeCell ref="E230:G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S230"/>
    <mergeCell ref="O267:R267"/>
    <mergeCell ref="Q229:S229"/>
    <mergeCell ref="Q218:T218"/>
    <mergeCell ref="O286:R286"/>
    <mergeCell ref="O305:R305"/>
    <mergeCell ref="O324:R324"/>
    <mergeCell ref="Q326:T326"/>
    <mergeCell ref="O111:T114"/>
    <mergeCell ref="Q116:T116"/>
    <mergeCell ref="Q117:T117"/>
    <mergeCell ref="Q217:T217"/>
    <mergeCell ref="O119:P119"/>
    <mergeCell ref="Q119:S119"/>
    <mergeCell ref="O120:P120"/>
    <mergeCell ref="Q120:S120"/>
    <mergeCell ref="O157:R157"/>
    <mergeCell ref="O104:R104"/>
    <mergeCell ref="Q106:T106"/>
    <mergeCell ref="Q107:T107"/>
    <mergeCell ref="Q108:T108"/>
    <mergeCell ref="Q109:T109"/>
  </mergeCells>
  <conditionalFormatting sqref="I3:I5 U3:U5">
    <cfRule type="cellIs" dxfId="6" priority="1" operator="equal">
      <formula>0</formula>
    </cfRule>
  </conditionalFormatting>
  <hyperlinks>
    <hyperlink ref="B3" location="null!a6" display="1" xr:uid="{00000000-0004-0000-0900-000000000000}"/>
    <hyperlink ref="D3" location="null!a6" display="OH-Orange Hunt" xr:uid="{00000000-0004-0000-0900-000001000000}"/>
    <hyperlink ref="P3" location="null!a6" display="SB-Springboard Recreation Club" xr:uid="{00000000-0004-0000-0900-000002000000}"/>
    <hyperlink ref="B4" location="null!a116" display="2" xr:uid="{00000000-0004-0000-0900-000003000000}"/>
    <hyperlink ref="D4" location="null!a116" display="HSC-Hamlet Swim Club" xr:uid="{00000000-0004-0000-0900-000004000000}"/>
    <hyperlink ref="P4" location="null!a116" display="SRA-Stratford Rec Association" xr:uid="{00000000-0004-0000-0900-000005000000}"/>
    <hyperlink ref="B5" location="null!a226" display="3" xr:uid="{00000000-0004-0000-0900-000006000000}"/>
    <hyperlink ref="D5" location="null!a226" display="PC-Pinecrest" xr:uid="{00000000-0004-0000-0900-000007000000}"/>
    <hyperlink ref="P5" location="null!a226" display="IC-Ilda Community" xr:uid="{00000000-0004-0000-0900-000008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30" customWidth="1"/>
    <col min="3" max="3" width="35" customWidth="1"/>
    <col min="4" max="4" width="25.21875" customWidth="1"/>
    <col min="5" max="5" width="16.33203125" hidden="1" customWidth="1"/>
    <col min="6" max="6" width="33.33203125" customWidth="1"/>
    <col min="7" max="7" width="139.21875" customWidth="1"/>
    <col min="8" max="9" width="3.6640625" customWidth="1"/>
    <col min="10" max="10" width="8.109375" customWidth="1"/>
    <col min="11" max="13" width="3.6640625" customWidth="1"/>
    <col min="14" max="25" width="2.77734375" customWidth="1"/>
  </cols>
  <sheetData>
    <row r="1" spans="1:21" ht="15.75" customHeight="1" x14ac:dyDescent="0.25">
      <c r="A1" s="171" t="s">
        <v>13</v>
      </c>
      <c r="B1" s="172"/>
      <c r="C1" s="173"/>
      <c r="D1" s="173"/>
      <c r="E1" s="174"/>
      <c r="F1" s="174"/>
      <c r="G1" s="174"/>
      <c r="H1" s="174"/>
      <c r="I1" s="174"/>
      <c r="J1" s="174"/>
      <c r="K1" s="174"/>
      <c r="L1" s="174"/>
      <c r="M1" s="174"/>
      <c r="N1" s="175"/>
      <c r="O1" s="175"/>
      <c r="P1" s="175"/>
      <c r="Q1" s="175"/>
      <c r="R1" s="175"/>
      <c r="S1" s="175"/>
      <c r="T1" s="175"/>
      <c r="U1" s="175"/>
    </row>
    <row r="2" spans="1:21" ht="15.75" customHeight="1" x14ac:dyDescent="0.25">
      <c r="A2" s="171" t="s">
        <v>14</v>
      </c>
      <c r="B2" s="172"/>
      <c r="C2" s="173"/>
      <c r="D2" s="176"/>
      <c r="E2" s="172"/>
      <c r="F2" s="174"/>
      <c r="G2" s="174"/>
      <c r="H2" s="174"/>
      <c r="I2" s="174"/>
      <c r="J2" s="174"/>
      <c r="K2" s="174"/>
      <c r="L2" s="174"/>
      <c r="M2" s="174"/>
      <c r="N2" s="175"/>
      <c r="O2" s="175"/>
      <c r="P2" s="175"/>
      <c r="Q2" s="175"/>
      <c r="R2" s="175"/>
      <c r="S2" s="175"/>
      <c r="T2" s="175"/>
      <c r="U2" s="175"/>
    </row>
    <row r="3" spans="1:21" ht="15.75" customHeight="1" x14ac:dyDescent="0.25">
      <c r="A3" s="177"/>
      <c r="B3" s="178" t="s">
        <v>15</v>
      </c>
      <c r="C3" s="178" t="s">
        <v>16</v>
      </c>
      <c r="D3" s="178" t="s">
        <v>17</v>
      </c>
      <c r="E3" s="179" t="str">
        <f>"RevokeAccess"&amp;"=MDautoExpire(C2)"</f>
        <v>RevokeAccess=MDautoExpire(C2)</v>
      </c>
      <c r="F3" s="178" t="s">
        <v>18</v>
      </c>
      <c r="G3" s="180" t="s">
        <v>19</v>
      </c>
    </row>
    <row r="4" spans="1:21" ht="15.75" customHeight="1" x14ac:dyDescent="0.45">
      <c r="A4" s="181">
        <v>1</v>
      </c>
      <c r="B4" s="2" t="str">
        <f t="array" aca="1" ref="B4:B20" ca="1">IF( A4:A20="", "", "Div " &amp; A4:A20 &amp; ": DIVE REP/DC ONLY Click to Open D" &amp; A4:A20 &amp; " Meet Sheet " &amp; TEXT( LEFT( G4, FIND( ",", G4:G20 )-1 ), "m/d/yyyy") &amp; " - hover then click!")</f>
        <v>Div 1: DIVE REP/DC ONLY Click to Open D1 Meet Sheet 6/18/2024 - hover then click!</v>
      </c>
      <c r="C4" s="182" t="str">
        <f t="shared" ref="C4:C11" si="0">HYPERLINK("https://docs.google.com/spreadsheets/d/"&amp;F4, "https://docs.google.com/spreadsheets/d/"&amp;F4)</f>
        <v>https://docs.google.com/spreadsheets/d/143jkOecwPaK3lEaAOkAFHq4C1zVcmLqdYeYVt5p9GiM</v>
      </c>
      <c r="D4" s="183" t="s">
        <v>20</v>
      </c>
      <c r="E4" s="184" t="str">
        <f t="shared" ref="E4:E11" si="1">"  MDautoExpire('"&amp;SUBSTITUTE(C4,"https://drive.google.com/open?id=","https://docs.google.com/spreadsheets/d/")&amp;"'); //D"&amp;A4&amp;" "&amp;TEXT(J4,"mm/dd/yyyy")</f>
        <v xml:space="preserve">  MDautoExpire('https://docs.google.com/spreadsheets/d/143jkOecwPaK3lEaAOkAFHq4C1zVcmLqdYeYVt5p9GiM'); //D1 01/00/1900</v>
      </c>
      <c r="F4" s="185" t="s">
        <v>21</v>
      </c>
      <c r="G4" s="186" t="str">
        <f ca="1">IFERROR(__xludf.DUMMYFUNCTION("TEXTJOIN( "","", true, IMPORTRANGE( C4, ""MeetResults!$A1:$R$5"" ))"),"6/18/2024,NVSL DIVING MEET RESULTS,Div,1,Meet,Home Team,Score,Visiting Team,Score,1,1,F-Fairfax,34,0,22,vs,29,DR-Donaldson Run,38,2,2,OKM-Old Keene Mill,23,0,28,vs,32,OAK-Oakton,49,3,3,VW-Vienna Woods,44,0,19,vs,27,O-Overlee,28")</f>
        <v>6/18/2024,NVSL DIVING MEET RESULTS,Div,1,Meet,Home Team,Score,Visiting Team,Score,1,1,F-Fairfax,34,0,22,vs,29,DR-Donaldson Run,38,2,2,OKM-Old Keene Mill,23,0,28,vs,32,OAK-Oakton,49,3,3,VW-Vienna Woods,44,0,19,vs,27,O-Overlee,28</v>
      </c>
      <c r="H4" s="181"/>
    </row>
    <row r="5" spans="1:21" ht="15.75" customHeight="1" x14ac:dyDescent="0.45">
      <c r="A5" s="181">
        <v>2</v>
      </c>
      <c r="B5" s="2" t="str">
        <f ca="1"/>
        <v>Div 2: DIVE REP/DC ONLY Click to Open D2 Meet Sheet 6/18/2024 - hover then click!</v>
      </c>
      <c r="C5" s="182" t="str">
        <f t="shared" si="0"/>
        <v>https://docs.google.com/spreadsheets/d/16cdGZY__6TPeBnE0q6r-K-vXcggI5WCFIs8CbwtjAHw</v>
      </c>
      <c r="D5" s="183" t="s">
        <v>20</v>
      </c>
      <c r="E5" s="184" t="str">
        <f t="shared" si="1"/>
        <v xml:space="preserve">  MDautoExpire('https://docs.google.com/spreadsheets/d/16cdGZY__6TPeBnE0q6r-K-vXcggI5WCFIs8CbwtjAHw'); //D2 01/00/1900</v>
      </c>
      <c r="F5" s="185" t="s">
        <v>22</v>
      </c>
      <c r="G5" s="186" t="str">
        <f ca="1">IFERROR(__xludf.DUMMYFUNCTION("TEXTJOIN( "","", true, IMPORTRANGE( C5, ""MeetResults!$A1:$R$5"" ))"),"6/18/2024,NVSL DIVING MEET RESULTS,Div,2,Meet,Home Team,Score,Visiting Team,Score,1,1,KG-Kent Gardens,33,0,27,vs,25,HS-Highlands Swim,39,2,2,RH-Rolling Hills,48,0,31,vs,22,HV-Hunt Valley,24,3,3,SHR-Sleepy Hollow Rec,43,0,30,vs,19,DH-Dominion Hills,28")</f>
        <v>6/18/2024,NVSL DIVING MEET RESULTS,Div,2,Meet,Home Team,Score,Visiting Team,Score,1,1,KG-Kent Gardens,33,0,27,vs,25,HS-Highlands Swim,39,2,2,RH-Rolling Hills,48,0,31,vs,22,HV-Hunt Valley,24,3,3,SHR-Sleepy Hollow Rec,43,0,30,vs,19,DH-Dominion Hills,28</v>
      </c>
      <c r="H5" s="181"/>
    </row>
    <row r="6" spans="1:21" ht="15.75" customHeight="1" x14ac:dyDescent="0.45">
      <c r="A6" s="181">
        <v>3</v>
      </c>
      <c r="B6" s="2" t="str">
        <f ca="1"/>
        <v>Div 3: DIVE REP/DC ONLY Click to Open D3 Meet Sheet 6/18/2024 - hover then click!</v>
      </c>
      <c r="C6" s="182" t="str">
        <f t="shared" si="0"/>
        <v>https://docs.google.com/spreadsheets/d/1GQ_vsXVScjB2pMDD2xHcfiRCQWDYS4nH1_chUPtQZno</v>
      </c>
      <c r="D6" s="183" t="s">
        <v>20</v>
      </c>
      <c r="E6" s="184" t="str">
        <f t="shared" si="1"/>
        <v xml:space="preserve">  MDautoExpire('https://docs.google.com/spreadsheets/d/1GQ_vsXVScjB2pMDD2xHcfiRCQWDYS4nH1_chUPtQZno'); //D3 01/00/1900</v>
      </c>
      <c r="F6" s="185" t="s">
        <v>23</v>
      </c>
      <c r="G6" s="186" t="str">
        <f ca="1">IFERROR(__xludf.DUMMYFUNCTION("TEXTJOIN( "","", true, IMPORTRANGE( C6, ""MeetResults!$A1:$R$5"" ))"),"6/18/2024,NVSL DIVING MEET RESULTS,Div,3,Meet,Home Team,Score,Visiting Team,Score,1,1,LG-Lee Graham,35,0,24,vs,18,G-Greenbriar,37,2,2,FS-Fairfax Station,43,0,28,vs,18,WG-Walden Glen,29,3,3,DL-Dunn Loring,30,0,17,vs,21,PAR-Parliament,34")</f>
        <v>6/18/2024,NVSL DIVING MEET RESULTS,Div,3,Meet,Home Team,Score,Visiting Team,Score,1,1,LG-Lee Graham,35,0,24,vs,18,G-Greenbriar,37,2,2,FS-Fairfax Station,43,0,28,vs,18,WG-Walden Glen,29,3,3,DL-Dunn Loring,30,0,17,vs,21,PAR-Parliament,34</v>
      </c>
      <c r="H6" s="181"/>
    </row>
    <row r="7" spans="1:21" ht="15.75" customHeight="1" x14ac:dyDescent="0.45">
      <c r="A7" s="181">
        <v>4</v>
      </c>
      <c r="B7" s="2" t="str">
        <f ca="1"/>
        <v>Div 4: DIVE REP/DC ONLY Click to Open D4 Meet Sheet 6/18/2024 - hover then click!</v>
      </c>
      <c r="C7" s="182" t="str">
        <f t="shared" si="0"/>
        <v>https://docs.google.com/spreadsheets/d/1PAhLxLzjeglXOoW-ygiInGT3vFWkZGhjhxnGbYxHqOM</v>
      </c>
      <c r="D7" s="183" t="s">
        <v>20</v>
      </c>
      <c r="E7" s="184" t="str">
        <f t="shared" si="1"/>
        <v xml:space="preserve">  MDautoExpire('https://docs.google.com/spreadsheets/d/1PAhLxLzjeglXOoW-ygiInGT3vFWkZGhjhxnGbYxHqOM'); //D4 01/00/1900</v>
      </c>
      <c r="F7" s="185" t="s">
        <v>24</v>
      </c>
      <c r="G7" s="186" t="str">
        <f ca="1">IFERROR(__xludf.DUMMYFUNCTION("TEXTJOIN( "","", true, IMPORTRANGE( C7, ""MeetResults!$A1:$R$5"" ))"),"6/18/2024,NVSL DIVING MEET RESULTS,Div,4,Meet,Home Team,Score,Visiting Team,Score,1,1,HP-Highland Park,40,0,32,vs,10,THA-Truro Homes Association,32,2,2,CB-Chesterbrook,24,0,19,vs,21,HF-Hayfield Farm,47,3,3,GF-Great Falls,27,0,29,vs,20,W-Woodley,45")</f>
        <v>6/18/2024,NVSL DIVING MEET RESULTS,Div,4,Meet,Home Team,Score,Visiting Team,Score,1,1,HP-Highland Park,40,0,32,vs,10,THA-Truro Homes Association,32,2,2,CB-Chesterbrook,24,0,19,vs,21,HF-Hayfield Farm,47,3,3,GF-Great Falls,27,0,29,vs,20,W-Woodley,45</v>
      </c>
      <c r="H7" s="181"/>
    </row>
    <row r="8" spans="1:21" ht="15.75" customHeight="1" x14ac:dyDescent="0.45">
      <c r="A8" s="181">
        <v>5</v>
      </c>
      <c r="B8" s="2" t="str">
        <f ca="1"/>
        <v>Div 5: DIVE REP/DC ONLY Click to Open D5 Meet Sheet 6/18/2024 - hover then click!</v>
      </c>
      <c r="C8" s="182" t="str">
        <f t="shared" si="0"/>
        <v>https://docs.google.com/spreadsheets/d/13DbFfSxHe-lZN8pxmW6v4N23RQcmiC6YhW55pJy5qQA</v>
      </c>
      <c r="D8" s="183" t="s">
        <v>20</v>
      </c>
      <c r="E8" s="184" t="str">
        <f t="shared" si="1"/>
        <v xml:space="preserve">  MDautoExpire('https://docs.google.com/spreadsheets/d/13DbFfSxHe-lZN8pxmW6v4N23RQcmiC6YhW55pJy5qQA'); //D5 01/00/1900</v>
      </c>
      <c r="F8" s="185" t="s">
        <v>25</v>
      </c>
      <c r="G8" s="186" t="str">
        <f ca="1">IFERROR(__xludf.DUMMYFUNCTION("TEXTJOIN( "","", true, IMPORTRANGE( C8, ""MeetResults!$A1:$R$5"" ))"),"6/18/2024,NVSL DIVING MEET RESULTS,Div,5,Meet,Home Team,Score,Visiting Team,Score,1,1,CP-Crosspointe,38,0,12,vs,18,CCC-Camelot Community Club,29,2,2,R-Ravensworth Farm,36,0,25,vs,17,CH-Cardinal Hill,35,3,3,SR-Sideburn Run,10,0,14,vs,17,LV-Lakeview,50")</f>
        <v>6/18/2024,NVSL DIVING MEET RESULTS,Div,5,Meet,Home Team,Score,Visiting Team,Score,1,1,CP-Crosspointe,38,0,12,vs,18,CCC-Camelot Community Club,29,2,2,R-Ravensworth Farm,36,0,25,vs,17,CH-Cardinal Hill,35,3,3,SR-Sideburn Run,10,0,14,vs,17,LV-Lakeview,50</v>
      </c>
      <c r="H8" s="181"/>
    </row>
    <row r="9" spans="1:21" ht="15.75" customHeight="1" x14ac:dyDescent="0.45">
      <c r="A9" s="181">
        <v>6</v>
      </c>
      <c r="B9" s="2" t="str">
        <f ca="1"/>
        <v>Div 6: DIVE REP/DC ONLY Click to Open D6 Meet Sheet 6/18/2024 - hover then click!</v>
      </c>
      <c r="C9" s="182" t="str">
        <f t="shared" si="0"/>
        <v>https://docs.google.com/spreadsheets/d/1-_WAite0rrAFB1CpokT916XswxZyIR0ByeNjH0MLxig</v>
      </c>
      <c r="D9" s="183" t="s">
        <v>20</v>
      </c>
      <c r="E9" s="184" t="str">
        <f t="shared" si="1"/>
        <v xml:space="preserve">  MDautoExpire('https://docs.google.com/spreadsheets/d/1-_WAite0rrAFB1CpokT916XswxZyIR0ByeNjH0MLxig'); //D6 01/00/1900</v>
      </c>
      <c r="F9" s="185" t="s">
        <v>26</v>
      </c>
      <c r="G9" s="186" t="str">
        <f ca="1">IFERROR(__xludf.DUMMYFUNCTION("TEXTJOIN( "","", true, IMPORTRANGE( C9, ""MeetResults!$A1:$R$5"" ))"),"6/18/2024,NVSL DIVING MEET RESULTS,Div,6,Meet,Home Team,Score,Visiting Team,Score,1,1,MHC-Mansion House,32,0,15,vs,20,SHB-Sleepy Hollow Bath,34,2,2,WC-Wakefield Chapel,33,0,19,vs,20,T-Tuckahoe,30,3,3,M-Mantua,21,0,12,vs,20,PL-Parklawn,48")</f>
        <v>6/18/2024,NVSL DIVING MEET RESULTS,Div,6,Meet,Home Team,Score,Visiting Team,Score,1,1,MHC-Mansion House,32,0,15,vs,20,SHB-Sleepy Hollow Bath,34,2,2,WC-Wakefield Chapel,33,0,19,vs,20,T-Tuckahoe,30,3,3,M-Mantua,21,0,12,vs,20,PL-Parklawn,48</v>
      </c>
      <c r="H9" s="181"/>
    </row>
    <row r="10" spans="1:21" ht="15.75" customHeight="1" x14ac:dyDescent="0.45">
      <c r="A10" s="181">
        <v>7</v>
      </c>
      <c r="B10" s="2" t="str">
        <f ca="1"/>
        <v>Div 7: DIVE REP/DC ONLY Click to Open D7 Meet Sheet 6/18/2024 - hover then click!</v>
      </c>
      <c r="C10" s="182" t="str">
        <f t="shared" si="0"/>
        <v>https://docs.google.com/spreadsheets/d/1CX2VLSg37uKjrzsrYdZD6crUz0KJKAHUi_ItIxOb7N8</v>
      </c>
      <c r="D10" s="183" t="s">
        <v>20</v>
      </c>
      <c r="E10" s="184" t="str">
        <f t="shared" si="1"/>
        <v xml:space="preserve">  MDautoExpire('https://docs.google.com/spreadsheets/d/1CX2VLSg37uKjrzsrYdZD6crUz0KJKAHUi_ItIxOb7N8'); //D7 01/00/1900</v>
      </c>
      <c r="F10" s="187" t="s">
        <v>27</v>
      </c>
      <c r="G10" s="186" t="str">
        <f ca="1">IFERROR(__xludf.DUMMYFUNCTION("TEXTJOIN( "","", true, IMPORTRANGE( C10, ""MeetResults!$A1:$R$5"" ))"),"6/18/2024,NVSL DIVING MEET RESULTS,Div,7,Meet,Home Team,Score,Visiting Team,Score,1,1,RFD-Rutherford,25,0,14,vs,25,AF-Arlington Forest,47,2,2,A-Annandale,25,0,12,vs,17,NS-North Springfield,37,3,3,CSC-Commonwealth Swim Club,36,0,26,vs,18,S-Springfield,35")</f>
        <v>6/18/2024,NVSL DIVING MEET RESULTS,Div,7,Meet,Home Team,Score,Visiting Team,Score,1,1,RFD-Rutherford,25,0,14,vs,25,AF-Arlington Forest,47,2,2,A-Annandale,25,0,12,vs,17,NS-North Springfield,37,3,3,CSC-Commonwealth Swim Club,36,0,26,vs,18,S-Springfield,35</v>
      </c>
      <c r="H10" s="181"/>
    </row>
    <row r="11" spans="1:21" ht="15.75" customHeight="1" x14ac:dyDescent="0.45">
      <c r="A11" s="181">
        <v>8</v>
      </c>
      <c r="B11" s="2" t="str">
        <f ca="1"/>
        <v>Div 8: DIVE REP/DC ONLY Click to Open D8 Meet Sheet 6/18/2024 - hover then click!</v>
      </c>
      <c r="C11" s="182" t="str">
        <f t="shared" si="0"/>
        <v>https://docs.google.com/spreadsheets/d/1XQSiLw1GcU5VVBqOpbZk2tmCY7IEwkqRSCMOiWax4z0</v>
      </c>
      <c r="D11" s="183" t="s">
        <v>20</v>
      </c>
      <c r="E11" s="184" t="str">
        <f t="shared" si="1"/>
        <v xml:space="preserve">  MDautoExpire('https://docs.google.com/spreadsheets/d/1XQSiLw1GcU5VVBqOpbZk2tmCY7IEwkqRSCMOiWax4z0'); //D8 01/00/1900</v>
      </c>
      <c r="F11" s="185" t="s">
        <v>28</v>
      </c>
      <c r="G11" s="186" t="str">
        <f ca="1">IFERROR(__xludf.DUMMYFUNCTION("TEXTJOIN( "","", true, IMPORTRANGE( C11, ""MeetResults!$A1:$R$5"" ))"),"6/18/2024,NVSL DIVING MEET RESULTS,Div,8,Meet,Home Team,Score,Visiting Team,Score,1,1,OH-Orange Hunt,35,0,21,vs,14,SB-Springboard Recreation Club,30,2,2,HSC-Hamlet Swim Club,23,0,16,vs,14,SRA-Stratford Rec Association,31,3,3,PC-Pinecrest,30,0,12,vs,5,IC-I"&amp;"lda Community,25")</f>
        <v>6/18/2024,NVSL DIVING MEET RESULTS,Div,8,Meet,Home Team,Score,Visiting Team,Score,1,1,OH-Orange Hunt,35,0,21,vs,14,SB-Springboard Recreation Club,30,2,2,HSC-Hamlet Swim Club,23,0,16,vs,14,SRA-Stratford Rec Association,31,3,3,PC-Pinecrest,30,0,12,vs,5,IC-Ilda Community,25</v>
      </c>
      <c r="H11" s="181"/>
    </row>
    <row r="12" spans="1:21" ht="13.8" x14ac:dyDescent="0.3">
      <c r="A12" s="181"/>
      <c r="B12" t="str">
        <f ca="1"/>
        <v/>
      </c>
      <c r="C12" s="188"/>
      <c r="E12" s="166"/>
      <c r="F12" s="189"/>
      <c r="G12" s="181"/>
      <c r="H12" s="181"/>
    </row>
    <row r="13" spans="1:21" ht="13.8" x14ac:dyDescent="0.3">
      <c r="A13" s="181"/>
      <c r="B13" t="str">
        <f ca="1"/>
        <v/>
      </c>
      <c r="C13" s="188"/>
      <c r="E13" s="166"/>
      <c r="F13" s="190"/>
    </row>
    <row r="14" spans="1:21" ht="13.8" x14ac:dyDescent="0.3">
      <c r="A14" s="181"/>
      <c r="B14" t="str">
        <f ca="1"/>
        <v/>
      </c>
      <c r="C14" s="188"/>
      <c r="E14" s="166"/>
      <c r="F14" s="190"/>
    </row>
    <row r="15" spans="1:21" ht="13.8" x14ac:dyDescent="0.3">
      <c r="A15" s="181"/>
      <c r="B15" t="str">
        <f ca="1"/>
        <v/>
      </c>
      <c r="C15" s="190"/>
      <c r="E15" s="166"/>
    </row>
    <row r="16" spans="1:21" ht="13.8" x14ac:dyDescent="0.3">
      <c r="A16" s="181"/>
      <c r="B16" t="str">
        <f ca="1"/>
        <v/>
      </c>
      <c r="C16" s="190"/>
      <c r="E16" s="166"/>
    </row>
    <row r="17" spans="1:5" ht="13.8" x14ac:dyDescent="0.3">
      <c r="A17" s="181"/>
      <c r="B17" t="str">
        <f ca="1"/>
        <v/>
      </c>
      <c r="C17" s="190"/>
      <c r="E17" s="166"/>
    </row>
    <row r="18" spans="1:5" ht="13.8" x14ac:dyDescent="0.3">
      <c r="A18" s="181"/>
      <c r="B18" t="str">
        <f ca="1"/>
        <v/>
      </c>
      <c r="C18" s="190"/>
      <c r="E18" s="166"/>
    </row>
    <row r="19" spans="1:5" ht="13.8" x14ac:dyDescent="0.3">
      <c r="A19" s="181"/>
      <c r="B19" t="str">
        <f ca="1"/>
        <v/>
      </c>
      <c r="C19" s="190"/>
      <c r="E19" s="166"/>
    </row>
    <row r="20" spans="1:5" ht="15.75" customHeight="1" x14ac:dyDescent="0.25">
      <c r="A20" s="181"/>
      <c r="B20" t="str">
        <f ca="1"/>
        <v/>
      </c>
      <c r="E20" s="166"/>
    </row>
  </sheetData>
  <conditionalFormatting sqref="C1:C2">
    <cfRule type="cellIs" dxfId="5" priority="1" operator="lessThan">
      <formula>5</formula>
    </cfRule>
    <cfRule type="cellIs" dxfId="4" priority="2" operator="greaterThan">
      <formula>18</formula>
    </cfRule>
  </conditionalFormatting>
  <conditionalFormatting sqref="G4:G20">
    <cfRule type="expression" dxfId="3" priority="3">
      <formula>ISERR(G4)</formula>
    </cfRule>
  </conditionalFormatting>
  <hyperlinks>
    <hyperlink ref="F10" r:id="rId1" xr:uid="{00000000-0004-0000-0A00-000000000000}"/>
  </hyperlinks>
  <pageMargins left="0.7" right="0.7" top="0.75" bottom="0.75" header="0.3" footer="0.3"/>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x14ac:dyDescent="0.25">
      <c r="A1" s="191" t="s">
        <v>30</v>
      </c>
      <c r="B1" s="192" t="s">
        <v>31</v>
      </c>
      <c r="C1" s="173"/>
      <c r="D1" s="173"/>
      <c r="E1" s="174"/>
      <c r="F1" s="174"/>
      <c r="G1" s="174"/>
      <c r="H1" s="174"/>
      <c r="I1" s="174"/>
      <c r="J1" s="174"/>
      <c r="K1" s="174"/>
      <c r="L1" s="174"/>
      <c r="M1" s="174"/>
      <c r="N1" s="175"/>
      <c r="O1" s="175"/>
      <c r="P1" s="175"/>
      <c r="Q1" s="175"/>
      <c r="R1" s="175"/>
      <c r="S1" s="175"/>
      <c r="T1" s="175"/>
      <c r="U1" s="175"/>
    </row>
    <row r="2" spans="1:21" ht="15.75" customHeight="1" x14ac:dyDescent="0.25">
      <c r="A2" s="191" t="s">
        <v>32</v>
      </c>
      <c r="B2" s="171" t="s">
        <v>33</v>
      </c>
      <c r="C2" s="173"/>
      <c r="D2" s="176"/>
      <c r="E2" s="172"/>
      <c r="F2" s="174"/>
      <c r="G2" s="174"/>
      <c r="H2" s="174"/>
      <c r="I2" s="174"/>
      <c r="J2" s="174"/>
      <c r="K2" s="174"/>
      <c r="L2" s="174"/>
      <c r="M2" s="175"/>
      <c r="N2" s="175"/>
      <c r="O2" s="175"/>
      <c r="P2" s="175"/>
      <c r="Q2" s="175"/>
      <c r="R2" s="175"/>
      <c r="S2" s="175"/>
      <c r="T2" s="175"/>
      <c r="U2" s="175"/>
    </row>
    <row r="3" spans="1:21" ht="15.75" customHeight="1" x14ac:dyDescent="0.25">
      <c r="A3" s="191" t="s">
        <v>34</v>
      </c>
      <c r="B3" s="171" t="s">
        <v>35</v>
      </c>
      <c r="C3" s="173"/>
      <c r="D3" s="176"/>
      <c r="E3" s="172"/>
      <c r="F3" s="174"/>
      <c r="G3" s="174"/>
      <c r="H3" s="174"/>
      <c r="I3" s="174"/>
      <c r="J3" s="174"/>
      <c r="K3" s="174"/>
      <c r="L3" s="174"/>
      <c r="M3" s="191"/>
      <c r="N3" s="172"/>
      <c r="O3" s="175"/>
      <c r="P3" s="175"/>
      <c r="Q3" s="175"/>
      <c r="R3" s="175"/>
      <c r="S3" s="175"/>
      <c r="T3" s="175"/>
      <c r="U3" s="175"/>
    </row>
    <row r="4" spans="1:21" ht="15.75" customHeight="1" x14ac:dyDescent="0.25">
      <c r="A4" s="193" t="str">
        <f ca="1">IFERROR(__xludf.DUMMYFUNCTION("SORT( IMPORTRANGE( VLOOKUP( ""NVSL-DiverDB DocID:"",$A$1:$B$3, COLUMNS( $A$1:$B$3 ),0),""Lookup-DiverRoster!$A4:$G"") , 1,true, 5,true, 4,false, 2,true )"),"!2024
 DiverTeam: 
2204 Entries")</f>
        <v>!2024
 DiverTeam: 
2204 Entries</v>
      </c>
      <c r="B4" s="193" t="str">
        <f ca="1">IFERROR(__xludf.DUMMYFUNCTION("""COMPUTED_VALUE"""),"!2024
 DiverName: 
2204 Entries")</f>
        <v>!2024
 DiverName: 
2204 Entries</v>
      </c>
      <c r="C4" s="193" t="str">
        <f ca="1">IFERROR(__xludf.DUMMYFUNCTION("""COMPUTED_VALUE"""),"!2024
 DiverAgeOn61: 
2203 Entries")</f>
        <v>!2024
 DiverAgeOn61: 
2203 Entries</v>
      </c>
      <c r="D4" s="193" t="str">
        <f ca="1">IFERROR(__xludf.DUMMYFUNCTION("""COMPUTED_VALUE"""),"!2024
 DiverGender: 
2203 Entries
G:1267 B:936")</f>
        <v>!2024
 DiverGender: 
2203 Entries
G:1267 B:936</v>
      </c>
      <c r="E4" s="194" t="str">
        <f ca="1">IFERROR(__xludf.DUMMYFUNCTION("""COMPUTED_VALUE"""),"!Calculated DiverEvent
F:1103 J:525 I:312 S:263")</f>
        <v>!Calculated DiverEvent
F:1103 J:525 I:312 S:263</v>
      </c>
      <c r="F4" s="194" t="str">
        <f ca="1">IFERROR(__xludf.DUMMYFUNCTION("""COMPUTED_VALUE"""),"Calculated DiveUpEvent")</f>
        <v>Calculated DiveUpEvent</v>
      </c>
      <c r="G4" s="194" t="str">
        <f ca="1">IFERROR(__xludf.DUMMYFUNCTION("""COMPUTED_VALUE"""),"Division Lookup")</f>
        <v>Division Lookup</v>
      </c>
      <c r="H4" s="194" t="str">
        <f>TEXT('D1-MeetResults'!$D$1,"mm/dd/yy")&amp;" Dive Results Raw"</f>
        <v>06/18/24 Dive Results Raw</v>
      </c>
      <c r="I4" s="194"/>
      <c r="J4" s="194" t="str">
        <f>TEXT('D1-MeetResults'!$D$1,"mm/dd/yy")&amp;" Dive-Up Ind"</f>
        <v>06/18/24 Dive-Up Ind</v>
      </c>
      <c r="K4" s="194"/>
      <c r="L4" s="194" t="str">
        <f>TEXT('D1-MeetResults'!$D$1,"mm/dd/yy")&amp;" Dual Meet Results"</f>
        <v>06/18/24 Dual Meet Results</v>
      </c>
      <c r="M4" s="194"/>
    </row>
    <row r="5" spans="1:21" ht="14.4" x14ac:dyDescent="0.3">
      <c r="A5" s="189" t="str">
        <f ca="1">IFERROR(__xludf.DUMMYFUNCTION("""COMPUTED_VALUE"""),"A")</f>
        <v>A</v>
      </c>
      <c r="B5" s="195" t="str">
        <f ca="1">IFERROR(__xludf.DUMMYFUNCTION("""COMPUTED_VALUE"""),"Elizabeth Rodenbeck")</f>
        <v>Elizabeth Rodenbeck</v>
      </c>
      <c r="C5" s="189">
        <f ca="1">IFERROR(__xludf.DUMMYFUNCTION("""COMPUTED_VALUE"""),10)</f>
        <v>10</v>
      </c>
      <c r="D5" s="189" t="str">
        <f ca="1">IFERROR(__xludf.DUMMYFUNCTION("""COMPUTED_VALUE"""),"G")</f>
        <v>G</v>
      </c>
      <c r="E5" s="189" t="str">
        <f ca="1">IFERROR(__xludf.DUMMYFUNCTION("""COMPUTED_VALUE"""),"F")</f>
        <v>F</v>
      </c>
      <c r="F5" s="189" t="str">
        <f ca="1">IFERROR(__xludf.DUMMYFUNCTION("""COMPUTED_VALUE"""),"J")</f>
        <v>J</v>
      </c>
      <c r="G5" s="189">
        <f ca="1">IFERROR(__xludf.DUMMYFUNCTION("""COMPUTED_VALUE"""),7)</f>
        <v>7</v>
      </c>
      <c r="H5" s="196" t="s">
        <v>29</v>
      </c>
      <c r="I5" s="196"/>
      <c r="J5" s="196" t="s">
        <v>29</v>
      </c>
      <c r="K5" s="196"/>
      <c r="L5" s="196" t="str">
        <f t="array" ref="L5:L2500">SUBSTITUTE(IF($H5:H2500="", IF($I5:I2500="", ""," " &amp; J5:J2500 &amp; $I5:I2500)," "&amp; J5:J2500 &amp; $H5:H2500),"^","-")</f>
        <v/>
      </c>
      <c r="M5" s="196"/>
    </row>
    <row r="6" spans="1:21" ht="14.4" x14ac:dyDescent="0.3">
      <c r="A6" s="189" t="str">
        <f ca="1">IFERROR(__xludf.DUMMYFUNCTION("""COMPUTED_VALUE"""),"A")</f>
        <v>A</v>
      </c>
      <c r="B6" s="195" t="str">
        <f ca="1">IFERROR(__xludf.DUMMYFUNCTION("""COMPUTED_VALUE"""),"Farah Ahmadi")</f>
        <v>Farah Ahmadi</v>
      </c>
      <c r="C6" s="189">
        <f ca="1">IFERROR(__xludf.DUMMYFUNCTION("""COMPUTED_VALUE"""),8)</f>
        <v>8</v>
      </c>
      <c r="D6" s="189" t="str">
        <f ca="1">IFERROR(__xludf.DUMMYFUNCTION("""COMPUTED_VALUE"""),"G")</f>
        <v>G</v>
      </c>
      <c r="E6" s="189" t="str">
        <f ca="1">IFERROR(__xludf.DUMMYFUNCTION("""COMPUTED_VALUE"""),"F")</f>
        <v>F</v>
      </c>
      <c r="F6" s="189" t="str">
        <f ca="1">IFERROR(__xludf.DUMMYFUNCTION("""COMPUTED_VALUE"""),"J")</f>
        <v>J</v>
      </c>
      <c r="G6" s="189">
        <f ca="1">IFERROR(__xludf.DUMMYFUNCTION("""COMPUTED_VALUE"""),7)</f>
        <v>7</v>
      </c>
      <c r="H6" s="196"/>
      <c r="I6" s="196"/>
      <c r="J6" s="196"/>
      <c r="K6" s="196"/>
      <c r="L6" s="196" t="str">
        <v/>
      </c>
      <c r="M6" s="196"/>
    </row>
    <row r="7" spans="1:21" ht="14.4" x14ac:dyDescent="0.3">
      <c r="A7" s="189" t="str">
        <f ca="1">IFERROR(__xludf.DUMMYFUNCTION("""COMPUTED_VALUE"""),"A")</f>
        <v>A</v>
      </c>
      <c r="B7" s="195" t="str">
        <f ca="1">IFERROR(__xludf.DUMMYFUNCTION("""COMPUTED_VALUE"""),"Grace Middendorf")</f>
        <v>Grace Middendorf</v>
      </c>
      <c r="C7" s="189">
        <f ca="1">IFERROR(__xludf.DUMMYFUNCTION("""COMPUTED_VALUE"""),8)</f>
        <v>8</v>
      </c>
      <c r="D7" s="189" t="str">
        <f ca="1">IFERROR(__xludf.DUMMYFUNCTION("""COMPUTED_VALUE"""),"G")</f>
        <v>G</v>
      </c>
      <c r="E7" s="189" t="str">
        <f ca="1">IFERROR(__xludf.DUMMYFUNCTION("""COMPUTED_VALUE"""),"F")</f>
        <v>F</v>
      </c>
      <c r="F7" s="189" t="str">
        <f ca="1">IFERROR(__xludf.DUMMYFUNCTION("""COMPUTED_VALUE"""),"J")</f>
        <v>J</v>
      </c>
      <c r="G7" s="189">
        <f ca="1">IFERROR(__xludf.DUMMYFUNCTION("""COMPUTED_VALUE"""),7)</f>
        <v>7</v>
      </c>
      <c r="H7" s="196"/>
      <c r="I7" s="196"/>
      <c r="J7" s="196"/>
      <c r="K7" s="196"/>
      <c r="L7" s="196" t="str">
        <v/>
      </c>
      <c r="M7" s="196"/>
    </row>
    <row r="8" spans="1:21" ht="14.4" x14ac:dyDescent="0.3">
      <c r="A8" s="189" t="str">
        <f ca="1">IFERROR(__xludf.DUMMYFUNCTION("""COMPUTED_VALUE"""),"A")</f>
        <v>A</v>
      </c>
      <c r="B8" s="195" t="str">
        <f ca="1">IFERROR(__xludf.DUMMYFUNCTION("""COMPUTED_VALUE"""),"Jacqueline Landry")</f>
        <v>Jacqueline Landry</v>
      </c>
      <c r="C8" s="189">
        <f ca="1">IFERROR(__xludf.DUMMYFUNCTION("""COMPUTED_VALUE"""),7)</f>
        <v>7</v>
      </c>
      <c r="D8" s="189" t="str">
        <f ca="1">IFERROR(__xludf.DUMMYFUNCTION("""COMPUTED_VALUE"""),"G")</f>
        <v>G</v>
      </c>
      <c r="E8" s="189" t="str">
        <f ca="1">IFERROR(__xludf.DUMMYFUNCTION("""COMPUTED_VALUE"""),"F")</f>
        <v>F</v>
      </c>
      <c r="F8" s="189" t="str">
        <f ca="1">IFERROR(__xludf.DUMMYFUNCTION("""COMPUTED_VALUE"""),"J")</f>
        <v>J</v>
      </c>
      <c r="G8" s="189">
        <f ca="1">IFERROR(__xludf.DUMMYFUNCTION("""COMPUTED_VALUE"""),7)</f>
        <v>7</v>
      </c>
      <c r="H8" s="196" t="s">
        <v>36</v>
      </c>
      <c r="I8" s="196"/>
      <c r="J8" s="196" t="s">
        <v>29</v>
      </c>
      <c r="K8" s="196"/>
      <c r="L8" s="196" t="str">
        <v xml:space="preserve"> 23.80</v>
      </c>
      <c r="M8" s="196"/>
    </row>
    <row r="9" spans="1:21" ht="14.4" x14ac:dyDescent="0.3">
      <c r="A9" s="189" t="str">
        <f ca="1">IFERROR(__xludf.DUMMYFUNCTION("""COMPUTED_VALUE"""),"A")</f>
        <v>A</v>
      </c>
      <c r="B9" s="195" t="str">
        <f ca="1">IFERROR(__xludf.DUMMYFUNCTION("""COMPUTED_VALUE"""),"Jenna Jair")</f>
        <v>Jenna Jair</v>
      </c>
      <c r="C9" s="189">
        <f ca="1">IFERROR(__xludf.DUMMYFUNCTION("""COMPUTED_VALUE"""),10)</f>
        <v>10</v>
      </c>
      <c r="D9" s="189" t="str">
        <f ca="1">IFERROR(__xludf.DUMMYFUNCTION("""COMPUTED_VALUE"""),"G")</f>
        <v>G</v>
      </c>
      <c r="E9" s="189" t="str">
        <f ca="1">IFERROR(__xludf.DUMMYFUNCTION("""COMPUTED_VALUE"""),"F")</f>
        <v>F</v>
      </c>
      <c r="F9" s="189" t="str">
        <f ca="1">IFERROR(__xludf.DUMMYFUNCTION("""COMPUTED_VALUE"""),"J")</f>
        <v>J</v>
      </c>
      <c r="G9" s="189">
        <f ca="1">IFERROR(__xludf.DUMMYFUNCTION("""COMPUTED_VALUE"""),7)</f>
        <v>7</v>
      </c>
      <c r="H9" s="196" t="s">
        <v>37</v>
      </c>
      <c r="I9" s="196"/>
      <c r="J9" s="196" t="s">
        <v>29</v>
      </c>
      <c r="K9" s="196"/>
      <c r="L9" s="196" t="str">
        <v xml:space="preserve"> 27.35</v>
      </c>
      <c r="M9" s="196"/>
    </row>
    <row r="10" spans="1:21" ht="14.4" x14ac:dyDescent="0.3">
      <c r="A10" s="189" t="str">
        <f ca="1">IFERROR(__xludf.DUMMYFUNCTION("""COMPUTED_VALUE"""),"A")</f>
        <v>A</v>
      </c>
      <c r="B10" s="195" t="str">
        <f ca="1">IFERROR(__xludf.DUMMYFUNCTION("""COMPUTED_VALUE"""),"Katherine Oswald")</f>
        <v>Katherine Oswald</v>
      </c>
      <c r="C10" s="189">
        <f ca="1">IFERROR(__xludf.DUMMYFUNCTION("""COMPUTED_VALUE"""),10)</f>
        <v>10</v>
      </c>
      <c r="D10" s="189" t="str">
        <f ca="1">IFERROR(__xludf.DUMMYFUNCTION("""COMPUTED_VALUE"""),"G")</f>
        <v>G</v>
      </c>
      <c r="E10" s="189" t="str">
        <f ca="1">IFERROR(__xludf.DUMMYFUNCTION("""COMPUTED_VALUE"""),"F")</f>
        <v>F</v>
      </c>
      <c r="F10" s="189" t="str">
        <f ca="1">IFERROR(__xludf.DUMMYFUNCTION("""COMPUTED_VALUE"""),"J")</f>
        <v>J</v>
      </c>
      <c r="G10" s="189">
        <f ca="1">IFERROR(__xludf.DUMMYFUNCTION("""COMPUTED_VALUE"""),7)</f>
        <v>7</v>
      </c>
      <c r="H10" s="196" t="s">
        <v>38</v>
      </c>
      <c r="I10" s="196"/>
      <c r="J10" s="196" t="s">
        <v>29</v>
      </c>
      <c r="K10" s="196"/>
      <c r="L10" s="196" t="str">
        <v xml:space="preserve"> 41.55</v>
      </c>
      <c r="M10" s="196"/>
    </row>
    <row r="11" spans="1:21" ht="14.4" x14ac:dyDescent="0.3">
      <c r="A11" s="189" t="str">
        <f ca="1">IFERROR(__xludf.DUMMYFUNCTION("""COMPUTED_VALUE"""),"A")</f>
        <v>A</v>
      </c>
      <c r="B11" s="195" t="str">
        <f ca="1">IFERROR(__xludf.DUMMYFUNCTION("""COMPUTED_VALUE"""),"Peyton Ma")</f>
        <v>Peyton Ma</v>
      </c>
      <c r="C11" s="189">
        <f ca="1">IFERROR(__xludf.DUMMYFUNCTION("""COMPUTED_VALUE"""),7)</f>
        <v>7</v>
      </c>
      <c r="D11" s="189" t="str">
        <f ca="1">IFERROR(__xludf.DUMMYFUNCTION("""COMPUTED_VALUE"""),"G")</f>
        <v>G</v>
      </c>
      <c r="E11" s="189" t="str">
        <f ca="1">IFERROR(__xludf.DUMMYFUNCTION("""COMPUTED_VALUE"""),"F")</f>
        <v>F</v>
      </c>
      <c r="F11" s="189" t="str">
        <f ca="1">IFERROR(__xludf.DUMMYFUNCTION("""COMPUTED_VALUE"""),"J")</f>
        <v>J</v>
      </c>
      <c r="G11" s="189">
        <f ca="1">IFERROR(__xludf.DUMMYFUNCTION("""COMPUTED_VALUE"""),7)</f>
        <v>7</v>
      </c>
      <c r="H11" s="196"/>
      <c r="I11" s="196"/>
      <c r="J11" s="196"/>
      <c r="K11" s="196"/>
      <c r="L11" s="196" t="str">
        <v/>
      </c>
      <c r="M11" s="196"/>
    </row>
    <row r="12" spans="1:21" ht="14.4" x14ac:dyDescent="0.3">
      <c r="A12" s="189" t="str">
        <f ca="1">IFERROR(__xludf.DUMMYFUNCTION("""COMPUTED_VALUE"""),"A")</f>
        <v>A</v>
      </c>
      <c r="B12" s="195" t="str">
        <f ca="1">IFERROR(__xludf.DUMMYFUNCTION("""COMPUTED_VALUE"""),"Chase Kemps")</f>
        <v>Chase Kemps</v>
      </c>
      <c r="C12" s="189">
        <f ca="1">IFERROR(__xludf.DUMMYFUNCTION("""COMPUTED_VALUE"""),9)</f>
        <v>9</v>
      </c>
      <c r="D12" s="189" t="str">
        <f ca="1">IFERROR(__xludf.DUMMYFUNCTION("""COMPUTED_VALUE"""),"B")</f>
        <v>B</v>
      </c>
      <c r="E12" s="189" t="str">
        <f ca="1">IFERROR(__xludf.DUMMYFUNCTION("""COMPUTED_VALUE"""),"F")</f>
        <v>F</v>
      </c>
      <c r="F12" s="189" t="str">
        <f ca="1">IFERROR(__xludf.DUMMYFUNCTION("""COMPUTED_VALUE"""),"J")</f>
        <v>J</v>
      </c>
      <c r="G12" s="189">
        <f ca="1">IFERROR(__xludf.DUMMYFUNCTION("""COMPUTED_VALUE"""),7)</f>
        <v>7</v>
      </c>
      <c r="H12" s="196" t="s">
        <v>39</v>
      </c>
      <c r="I12" s="196"/>
      <c r="J12" s="196" t="s">
        <v>29</v>
      </c>
      <c r="K12" s="196"/>
      <c r="L12" s="196" t="str">
        <v xml:space="preserve"> 41.35</v>
      </c>
      <c r="M12" s="196"/>
    </row>
    <row r="13" spans="1:21" ht="14.4" x14ac:dyDescent="0.3">
      <c r="A13" s="189" t="str">
        <f ca="1">IFERROR(__xludf.DUMMYFUNCTION("""COMPUTED_VALUE"""),"A")</f>
        <v>A</v>
      </c>
      <c r="B13" s="195" t="str">
        <f ca="1">IFERROR(__xludf.DUMMYFUNCTION("""COMPUTED_VALUE"""),"Justin Jair")</f>
        <v>Justin Jair</v>
      </c>
      <c r="C13" s="189">
        <f ca="1">IFERROR(__xludf.DUMMYFUNCTION("""COMPUTED_VALUE"""),7)</f>
        <v>7</v>
      </c>
      <c r="D13" s="189" t="str">
        <f ca="1">IFERROR(__xludf.DUMMYFUNCTION("""COMPUTED_VALUE"""),"B")</f>
        <v>B</v>
      </c>
      <c r="E13" s="189" t="str">
        <f ca="1">IFERROR(__xludf.DUMMYFUNCTION("""COMPUTED_VALUE"""),"F")</f>
        <v>F</v>
      </c>
      <c r="F13" s="189" t="str">
        <f ca="1">IFERROR(__xludf.DUMMYFUNCTION("""COMPUTED_VALUE"""),"J")</f>
        <v>J</v>
      </c>
      <c r="G13" s="189">
        <f ca="1">IFERROR(__xludf.DUMMYFUNCTION("""COMPUTED_VALUE"""),7)</f>
        <v>7</v>
      </c>
      <c r="H13" s="196" t="s">
        <v>40</v>
      </c>
      <c r="I13" s="196"/>
      <c r="J13" s="196" t="s">
        <v>29</v>
      </c>
      <c r="K13" s="196"/>
      <c r="L13" s="196" t="str">
        <v xml:space="preserve"> 37.00</v>
      </c>
      <c r="M13" s="196"/>
    </row>
    <row r="14" spans="1:21" ht="14.4" x14ac:dyDescent="0.3">
      <c r="A14" s="189" t="str">
        <f ca="1">IFERROR(__xludf.DUMMYFUNCTION("""COMPUTED_VALUE"""),"A")</f>
        <v>A</v>
      </c>
      <c r="B14" s="195" t="str">
        <f ca="1">IFERROR(__xludf.DUMMYFUNCTION("""COMPUTED_VALUE"""),"Leif Middendorf")</f>
        <v>Leif Middendorf</v>
      </c>
      <c r="C14" s="189">
        <f ca="1">IFERROR(__xludf.DUMMYFUNCTION("""COMPUTED_VALUE"""),7)</f>
        <v>7</v>
      </c>
      <c r="D14" s="189" t="str">
        <f ca="1">IFERROR(__xludf.DUMMYFUNCTION("""COMPUTED_VALUE"""),"B")</f>
        <v>B</v>
      </c>
      <c r="E14" s="189" t="str">
        <f ca="1">IFERROR(__xludf.DUMMYFUNCTION("""COMPUTED_VALUE"""),"F")</f>
        <v>F</v>
      </c>
      <c r="F14" s="189" t="str">
        <f ca="1">IFERROR(__xludf.DUMMYFUNCTION("""COMPUTED_VALUE"""),"J")</f>
        <v>J</v>
      </c>
      <c r="G14" s="189">
        <f ca="1">IFERROR(__xludf.DUMMYFUNCTION("""COMPUTED_VALUE"""),7)</f>
        <v>7</v>
      </c>
      <c r="H14" s="196"/>
      <c r="I14" s="196"/>
      <c r="J14" s="196"/>
      <c r="K14" s="196"/>
      <c r="L14" s="196" t="str">
        <v/>
      </c>
      <c r="M14" s="196"/>
    </row>
    <row r="15" spans="1:21" ht="14.4" x14ac:dyDescent="0.3">
      <c r="A15" s="189" t="str">
        <f ca="1">IFERROR(__xludf.DUMMYFUNCTION("""COMPUTED_VALUE"""),"A")</f>
        <v>A</v>
      </c>
      <c r="B15" s="195" t="str">
        <f ca="1">IFERROR(__xludf.DUMMYFUNCTION("""COMPUTED_VALUE"""),"Luke Tang")</f>
        <v>Luke Tang</v>
      </c>
      <c r="C15" s="189">
        <f ca="1">IFERROR(__xludf.DUMMYFUNCTION("""COMPUTED_VALUE"""),9)</f>
        <v>9</v>
      </c>
      <c r="D15" s="189" t="str">
        <f ca="1">IFERROR(__xludf.DUMMYFUNCTION("""COMPUTED_VALUE"""),"B")</f>
        <v>B</v>
      </c>
      <c r="E15" s="189" t="str">
        <f ca="1">IFERROR(__xludf.DUMMYFUNCTION("""COMPUTED_VALUE"""),"F")</f>
        <v>F</v>
      </c>
      <c r="F15" s="189" t="str">
        <f ca="1">IFERROR(__xludf.DUMMYFUNCTION("""COMPUTED_VALUE"""),"J")</f>
        <v>J</v>
      </c>
      <c r="G15" s="189">
        <f ca="1">IFERROR(__xludf.DUMMYFUNCTION("""COMPUTED_VALUE"""),7)</f>
        <v>7</v>
      </c>
      <c r="H15" s="196" t="s">
        <v>41</v>
      </c>
      <c r="I15" s="196"/>
      <c r="J15" s="196" t="s">
        <v>29</v>
      </c>
      <c r="K15" s="196"/>
      <c r="L15" s="196" t="str">
        <v xml:space="preserve"> 33.20</v>
      </c>
      <c r="M15" s="196"/>
    </row>
    <row r="16" spans="1:21" ht="14.4" x14ac:dyDescent="0.3">
      <c r="A16" s="189" t="str">
        <f ca="1">IFERROR(__xludf.DUMMYFUNCTION("""COMPUTED_VALUE"""),"A")</f>
        <v>A</v>
      </c>
      <c r="B16" s="195" t="str">
        <f ca="1">IFERROR(__xludf.DUMMYFUNCTION("""COMPUTED_VALUE"""),"Preston Ta")</f>
        <v>Preston Ta</v>
      </c>
      <c r="C16" s="189">
        <f ca="1">IFERROR(__xludf.DUMMYFUNCTION("""COMPUTED_VALUE"""),10)</f>
        <v>10</v>
      </c>
      <c r="D16" s="189" t="str">
        <f ca="1">IFERROR(__xludf.DUMMYFUNCTION("""COMPUTED_VALUE"""),"B")</f>
        <v>B</v>
      </c>
      <c r="E16" s="189" t="str">
        <f ca="1">IFERROR(__xludf.DUMMYFUNCTION("""COMPUTED_VALUE"""),"F")</f>
        <v>F</v>
      </c>
      <c r="F16" s="189" t="str">
        <f ca="1">IFERROR(__xludf.DUMMYFUNCTION("""COMPUTED_VALUE"""),"J")</f>
        <v>J</v>
      </c>
      <c r="G16" s="189">
        <f ca="1">IFERROR(__xludf.DUMMYFUNCTION("""COMPUTED_VALUE"""),7)</f>
        <v>7</v>
      </c>
      <c r="H16" s="196" t="s">
        <v>42</v>
      </c>
      <c r="I16" s="196"/>
      <c r="J16" s="196" t="s">
        <v>29</v>
      </c>
      <c r="K16" s="196"/>
      <c r="L16" s="196" t="str">
        <v xml:space="preserve"> 63.50</v>
      </c>
      <c r="M16" s="196"/>
    </row>
    <row r="17" spans="1:13" ht="14.4" x14ac:dyDescent="0.3">
      <c r="A17" s="189" t="str">
        <f ca="1">IFERROR(__xludf.DUMMYFUNCTION("""COMPUTED_VALUE"""),"A")</f>
        <v>A</v>
      </c>
      <c r="B17" s="195" t="str">
        <f ca="1">IFERROR(__xludf.DUMMYFUNCTION("""COMPUTED_VALUE"""),"Timothy Davis")</f>
        <v>Timothy Davis</v>
      </c>
      <c r="C17" s="189">
        <f ca="1">IFERROR(__xludf.DUMMYFUNCTION("""COMPUTED_VALUE"""),8)</f>
        <v>8</v>
      </c>
      <c r="D17" s="189" t="str">
        <f ca="1">IFERROR(__xludf.DUMMYFUNCTION("""COMPUTED_VALUE"""),"B")</f>
        <v>B</v>
      </c>
      <c r="E17" s="189" t="str">
        <f ca="1">IFERROR(__xludf.DUMMYFUNCTION("""COMPUTED_VALUE"""),"F")</f>
        <v>F</v>
      </c>
      <c r="F17" s="189" t="str">
        <f ca="1">IFERROR(__xludf.DUMMYFUNCTION("""COMPUTED_VALUE"""),"J")</f>
        <v>J</v>
      </c>
      <c r="G17" s="189">
        <f ca="1">IFERROR(__xludf.DUMMYFUNCTION("""COMPUTED_VALUE"""),7)</f>
        <v>7</v>
      </c>
      <c r="H17" s="196"/>
      <c r="I17" s="196"/>
      <c r="J17" s="196"/>
      <c r="K17" s="196"/>
      <c r="L17" s="196" t="str">
        <v/>
      </c>
      <c r="M17" s="196"/>
    </row>
    <row r="18" spans="1:13" ht="14.4" x14ac:dyDescent="0.3">
      <c r="A18" s="189" t="str">
        <f ca="1">IFERROR(__xludf.DUMMYFUNCTION("""COMPUTED_VALUE"""),"A")</f>
        <v>A</v>
      </c>
      <c r="B18" s="195" t="str">
        <f ca="1">IFERROR(__xludf.DUMMYFUNCTION("""COMPUTED_VALUE"""),"Esperanza Hernandez-Giblin")</f>
        <v>Esperanza Hernandez-Giblin</v>
      </c>
      <c r="C18" s="189">
        <f ca="1">IFERROR(__xludf.DUMMYFUNCTION("""COMPUTED_VALUE"""),13)</f>
        <v>13</v>
      </c>
      <c r="D18" s="189" t="str">
        <f ca="1">IFERROR(__xludf.DUMMYFUNCTION("""COMPUTED_VALUE"""),"G")</f>
        <v>G</v>
      </c>
      <c r="E18" s="189" t="str">
        <f ca="1">IFERROR(__xludf.DUMMYFUNCTION("""COMPUTED_VALUE"""),"I")</f>
        <v>I</v>
      </c>
      <c r="F18" s="189" t="str">
        <f ca="1">IFERROR(__xludf.DUMMYFUNCTION("""COMPUTED_VALUE"""),"S")</f>
        <v>S</v>
      </c>
      <c r="G18" s="189">
        <f ca="1">IFERROR(__xludf.DUMMYFUNCTION("""COMPUTED_VALUE"""),7)</f>
        <v>7</v>
      </c>
      <c r="H18" s="196" t="s">
        <v>43</v>
      </c>
      <c r="I18" s="196"/>
      <c r="J18" s="196" t="s">
        <v>29</v>
      </c>
      <c r="K18" s="196"/>
      <c r="L18" s="196" t="str">
        <v xml:space="preserve"> 76.85</v>
      </c>
      <c r="M18" s="196"/>
    </row>
    <row r="19" spans="1:13" ht="14.4" x14ac:dyDescent="0.3">
      <c r="A19" s="189" t="str">
        <f ca="1">IFERROR(__xludf.DUMMYFUNCTION("""COMPUTED_VALUE"""),"A")</f>
        <v>A</v>
      </c>
      <c r="B19" s="195" t="str">
        <f ca="1">IFERROR(__xludf.DUMMYFUNCTION("""COMPUTED_VALUE"""),"Raito Detten")</f>
        <v>Raito Detten</v>
      </c>
      <c r="C19" s="189">
        <f ca="1">IFERROR(__xludf.DUMMYFUNCTION("""COMPUTED_VALUE"""),14)</f>
        <v>14</v>
      </c>
      <c r="D19" s="189" t="str">
        <f ca="1">IFERROR(__xludf.DUMMYFUNCTION("""COMPUTED_VALUE"""),"B")</f>
        <v>B</v>
      </c>
      <c r="E19" s="189" t="str">
        <f ca="1">IFERROR(__xludf.DUMMYFUNCTION("""COMPUTED_VALUE"""),"I")</f>
        <v>I</v>
      </c>
      <c r="F19" s="189" t="str">
        <f ca="1">IFERROR(__xludf.DUMMYFUNCTION("""COMPUTED_VALUE"""),"S")</f>
        <v>S</v>
      </c>
      <c r="G19" s="189">
        <f ca="1">IFERROR(__xludf.DUMMYFUNCTION("""COMPUTED_VALUE"""),7)</f>
        <v>7</v>
      </c>
      <c r="H19" s="196" t="s">
        <v>44</v>
      </c>
      <c r="I19" s="196"/>
      <c r="J19" s="196" t="s">
        <v>29</v>
      </c>
      <c r="K19" s="196"/>
      <c r="L19" s="196" t="str">
        <v xml:space="preserve"> 211.70</v>
      </c>
      <c r="M19" s="196"/>
    </row>
    <row r="20" spans="1:13" ht="14.4" x14ac:dyDescent="0.3">
      <c r="A20" s="189" t="str">
        <f ca="1">IFERROR(__xludf.DUMMYFUNCTION("""COMPUTED_VALUE"""),"A")</f>
        <v>A</v>
      </c>
      <c r="B20" s="195" t="str">
        <f ca="1">IFERROR(__xludf.DUMMYFUNCTION("""COMPUTED_VALUE"""),"Remy Cao")</f>
        <v>Remy Cao</v>
      </c>
      <c r="C20" s="189">
        <f ca="1">IFERROR(__xludf.DUMMYFUNCTION("""COMPUTED_VALUE"""),14)</f>
        <v>14</v>
      </c>
      <c r="D20" s="189" t="str">
        <f ca="1">IFERROR(__xludf.DUMMYFUNCTION("""COMPUTED_VALUE"""),"B")</f>
        <v>B</v>
      </c>
      <c r="E20" s="189" t="str">
        <f ca="1">IFERROR(__xludf.DUMMYFUNCTION("""COMPUTED_VALUE"""),"I")</f>
        <v>I</v>
      </c>
      <c r="F20" s="189" t="str">
        <f ca="1">IFERROR(__xludf.DUMMYFUNCTION("""COMPUTED_VALUE"""),"S")</f>
        <v>S</v>
      </c>
      <c r="G20" s="189">
        <f ca="1">IFERROR(__xludf.DUMMYFUNCTION("""COMPUTED_VALUE"""),7)</f>
        <v>7</v>
      </c>
      <c r="H20" s="196"/>
      <c r="I20" s="196"/>
      <c r="J20" s="196"/>
      <c r="K20" s="196"/>
      <c r="L20" s="196" t="str">
        <v/>
      </c>
      <c r="M20" s="196"/>
    </row>
    <row r="21" spans="1:13" ht="14.4" x14ac:dyDescent="0.3">
      <c r="A21" s="189" t="str">
        <f ca="1">IFERROR(__xludf.DUMMYFUNCTION("""COMPUTED_VALUE"""),"A")</f>
        <v>A</v>
      </c>
      <c r="B21" s="195" t="str">
        <f ca="1">IFERROR(__xludf.DUMMYFUNCTION("""COMPUTED_VALUE"""),"Avery Ma")</f>
        <v>Avery Ma</v>
      </c>
      <c r="C21" s="189">
        <f ca="1">IFERROR(__xludf.DUMMYFUNCTION("""COMPUTED_VALUE"""),11)</f>
        <v>11</v>
      </c>
      <c r="D21" s="189" t="str">
        <f ca="1">IFERROR(__xludf.DUMMYFUNCTION("""COMPUTED_VALUE"""),"G")</f>
        <v>G</v>
      </c>
      <c r="E21" s="189" t="str">
        <f ca="1">IFERROR(__xludf.DUMMYFUNCTION("""COMPUTED_VALUE"""),"J")</f>
        <v>J</v>
      </c>
      <c r="F21" s="189" t="str">
        <f ca="1">IFERROR(__xludf.DUMMYFUNCTION("""COMPUTED_VALUE"""),"I")</f>
        <v>I</v>
      </c>
      <c r="G21" s="189">
        <f ca="1">IFERROR(__xludf.DUMMYFUNCTION("""COMPUTED_VALUE"""),7)</f>
        <v>7</v>
      </c>
      <c r="H21" s="196"/>
      <c r="I21" s="196"/>
      <c r="J21" s="196"/>
      <c r="K21" s="196"/>
      <c r="L21" s="196" t="str">
        <v/>
      </c>
      <c r="M21" s="196"/>
    </row>
    <row r="22" spans="1:13" ht="14.4" x14ac:dyDescent="0.3">
      <c r="A22" s="189" t="str">
        <f ca="1">IFERROR(__xludf.DUMMYFUNCTION("""COMPUTED_VALUE"""),"A")</f>
        <v>A</v>
      </c>
      <c r="B22" s="195" t="str">
        <f ca="1">IFERROR(__xludf.DUMMYFUNCTION("""COMPUTED_VALUE"""),"Foster Middendorf")</f>
        <v>Foster Middendorf</v>
      </c>
      <c r="C22" s="189">
        <f ca="1">IFERROR(__xludf.DUMMYFUNCTION("""COMPUTED_VALUE"""),11)</f>
        <v>11</v>
      </c>
      <c r="D22" s="189" t="str">
        <f ca="1">IFERROR(__xludf.DUMMYFUNCTION("""COMPUTED_VALUE"""),"B")</f>
        <v>B</v>
      </c>
      <c r="E22" s="189" t="str">
        <f ca="1">IFERROR(__xludf.DUMMYFUNCTION("""COMPUTED_VALUE"""),"J")</f>
        <v>J</v>
      </c>
      <c r="F22" s="189" t="str">
        <f ca="1">IFERROR(__xludf.DUMMYFUNCTION("""COMPUTED_VALUE"""),"I")</f>
        <v>I</v>
      </c>
      <c r="G22" s="189">
        <f ca="1">IFERROR(__xludf.DUMMYFUNCTION("""COMPUTED_VALUE"""),7)</f>
        <v>7</v>
      </c>
      <c r="H22" s="196"/>
      <c r="I22" s="196"/>
      <c r="J22" s="196"/>
      <c r="K22" s="196"/>
      <c r="L22" s="196" t="str">
        <v/>
      </c>
      <c r="M22" s="196"/>
    </row>
    <row r="23" spans="1:13" ht="14.4" x14ac:dyDescent="0.3">
      <c r="A23" s="189" t="str">
        <f ca="1">IFERROR(__xludf.DUMMYFUNCTION("""COMPUTED_VALUE"""),"A")</f>
        <v>A</v>
      </c>
      <c r="B23" s="195" t="str">
        <f ca="1">IFERROR(__xludf.DUMMYFUNCTION("""COMPUTED_VALUE"""),"John Nguyen")</f>
        <v>John Nguyen</v>
      </c>
      <c r="C23" s="189">
        <f ca="1">IFERROR(__xludf.DUMMYFUNCTION("""COMPUTED_VALUE"""),12)</f>
        <v>12</v>
      </c>
      <c r="D23" s="189" t="str">
        <f ca="1">IFERROR(__xludf.DUMMYFUNCTION("""COMPUTED_VALUE"""),"B")</f>
        <v>B</v>
      </c>
      <c r="E23" s="189" t="str">
        <f ca="1">IFERROR(__xludf.DUMMYFUNCTION("""COMPUTED_VALUE"""),"J")</f>
        <v>J</v>
      </c>
      <c r="F23" s="189" t="str">
        <f ca="1">IFERROR(__xludf.DUMMYFUNCTION("""COMPUTED_VALUE"""),"I")</f>
        <v>I</v>
      </c>
      <c r="G23" s="189">
        <f ca="1">IFERROR(__xludf.DUMMYFUNCTION("""COMPUTED_VALUE"""),7)</f>
        <v>7</v>
      </c>
      <c r="H23" s="196" t="s">
        <v>45</v>
      </c>
      <c r="I23" s="196"/>
      <c r="J23" s="196" t="s">
        <v>29</v>
      </c>
      <c r="K23" s="196"/>
      <c r="L23" s="196" t="str">
        <v xml:space="preserve"> 74.50</v>
      </c>
      <c r="M23" s="196"/>
    </row>
    <row r="24" spans="1:13" ht="14.4" x14ac:dyDescent="0.3">
      <c r="A24" s="189" t="str">
        <f ca="1">IFERROR(__xludf.DUMMYFUNCTION("""COMPUTED_VALUE"""),"A")</f>
        <v>A</v>
      </c>
      <c r="B24" s="195" t="str">
        <f ca="1">IFERROR(__xludf.DUMMYFUNCTION("""COMPUTED_VALUE"""),"Logan Cao")</f>
        <v>Logan Cao</v>
      </c>
      <c r="C24" s="189">
        <f ca="1">IFERROR(__xludf.DUMMYFUNCTION("""COMPUTED_VALUE"""),12)</f>
        <v>12</v>
      </c>
      <c r="D24" s="189" t="str">
        <f ca="1">IFERROR(__xludf.DUMMYFUNCTION("""COMPUTED_VALUE"""),"B")</f>
        <v>B</v>
      </c>
      <c r="E24" s="189" t="str">
        <f ca="1">IFERROR(__xludf.DUMMYFUNCTION("""COMPUTED_VALUE"""),"J")</f>
        <v>J</v>
      </c>
      <c r="F24" s="189" t="str">
        <f ca="1">IFERROR(__xludf.DUMMYFUNCTION("""COMPUTED_VALUE"""),"I")</f>
        <v>I</v>
      </c>
      <c r="G24" s="189">
        <f ca="1">IFERROR(__xludf.DUMMYFUNCTION("""COMPUTED_VALUE"""),7)</f>
        <v>7</v>
      </c>
      <c r="H24" s="196"/>
      <c r="I24" s="196"/>
      <c r="J24" s="196"/>
      <c r="K24" s="196"/>
      <c r="L24" s="196" t="str">
        <v/>
      </c>
      <c r="M24" s="196"/>
    </row>
    <row r="25" spans="1:13" ht="14.4" x14ac:dyDescent="0.3">
      <c r="A25" s="189" t="str">
        <f ca="1">IFERROR(__xludf.DUMMYFUNCTION("""COMPUTED_VALUE"""),"A")</f>
        <v>A</v>
      </c>
      <c r="B25" s="195" t="str">
        <f ca="1">IFERROR(__xludf.DUMMYFUNCTION("""COMPUTED_VALUE"""),"Noah Hua")</f>
        <v>Noah Hua</v>
      </c>
      <c r="C25" s="189">
        <f ca="1">IFERROR(__xludf.DUMMYFUNCTION("""COMPUTED_VALUE"""),11)</f>
        <v>11</v>
      </c>
      <c r="D25" s="189" t="str">
        <f ca="1">IFERROR(__xludf.DUMMYFUNCTION("""COMPUTED_VALUE"""),"B")</f>
        <v>B</v>
      </c>
      <c r="E25" s="189" t="str">
        <f ca="1">IFERROR(__xludf.DUMMYFUNCTION("""COMPUTED_VALUE"""),"J")</f>
        <v>J</v>
      </c>
      <c r="F25" s="189" t="str">
        <f ca="1">IFERROR(__xludf.DUMMYFUNCTION("""COMPUTED_VALUE"""),"I")</f>
        <v>I</v>
      </c>
      <c r="G25" s="189">
        <f ca="1">IFERROR(__xludf.DUMMYFUNCTION("""COMPUTED_VALUE"""),7)</f>
        <v>7</v>
      </c>
      <c r="H25" s="196" t="s">
        <v>46</v>
      </c>
      <c r="I25" s="196"/>
      <c r="J25" s="196" t="s">
        <v>29</v>
      </c>
      <c r="K25" s="196"/>
      <c r="L25" s="196" t="str">
        <v xml:space="preserve"> 77.25</v>
      </c>
      <c r="M25" s="196"/>
    </row>
    <row r="26" spans="1:13" ht="14.4" x14ac:dyDescent="0.3">
      <c r="A26" s="189" t="str">
        <f ca="1">IFERROR(__xludf.DUMMYFUNCTION("""COMPUTED_VALUE"""),"A")</f>
        <v>A</v>
      </c>
      <c r="B26" s="195" t="str">
        <f ca="1">IFERROR(__xludf.DUMMYFUNCTION("""COMPUTED_VALUE"""),"Michael Sweeney")</f>
        <v>Michael Sweeney</v>
      </c>
      <c r="C26" s="189">
        <f ca="1">IFERROR(__xludf.DUMMYFUNCTION("""COMPUTED_VALUE"""),15)</f>
        <v>15</v>
      </c>
      <c r="D26" s="189" t="str">
        <f ca="1">IFERROR(__xludf.DUMMYFUNCTION("""COMPUTED_VALUE"""),"B")</f>
        <v>B</v>
      </c>
      <c r="E26" s="189" t="str">
        <f ca="1">IFERROR(__xludf.DUMMYFUNCTION("""COMPUTED_VALUE"""),"S")</f>
        <v>S</v>
      </c>
      <c r="F26" s="189" t="str">
        <f ca="1">IFERROR(__xludf.DUMMYFUNCTION("""COMPUTED_VALUE"""),"S")</f>
        <v>S</v>
      </c>
      <c r="G26" s="189">
        <f ca="1">IFERROR(__xludf.DUMMYFUNCTION("""COMPUTED_VALUE"""),7)</f>
        <v>7</v>
      </c>
      <c r="H26" s="196" t="s">
        <v>47</v>
      </c>
      <c r="I26" s="196"/>
      <c r="J26" s="196" t="s">
        <v>29</v>
      </c>
      <c r="K26" s="196"/>
      <c r="L26" s="196" t="str">
        <v xml:space="preserve"> 173.90</v>
      </c>
      <c r="M26" s="196"/>
    </row>
    <row r="27" spans="1:13" ht="14.4" x14ac:dyDescent="0.3">
      <c r="A27" s="189" t="str">
        <f ca="1">IFERROR(__xludf.DUMMYFUNCTION("""COMPUTED_VALUE"""),"A")</f>
        <v>A</v>
      </c>
      <c r="B27" s="195" t="str">
        <f ca="1">IFERROR(__xludf.DUMMYFUNCTION("""COMPUTED_VALUE"""),"Ricky Nguyen")</f>
        <v>Ricky Nguyen</v>
      </c>
      <c r="C27" s="189">
        <f ca="1">IFERROR(__xludf.DUMMYFUNCTION("""COMPUTED_VALUE"""),16)</f>
        <v>16</v>
      </c>
      <c r="D27" s="189" t="str">
        <f ca="1">IFERROR(__xludf.DUMMYFUNCTION("""COMPUTED_VALUE"""),"B")</f>
        <v>B</v>
      </c>
      <c r="E27" s="189" t="str">
        <f ca="1">IFERROR(__xludf.DUMMYFUNCTION("""COMPUTED_VALUE"""),"S")</f>
        <v>S</v>
      </c>
      <c r="F27" s="189" t="str">
        <f ca="1">IFERROR(__xludf.DUMMYFUNCTION("""COMPUTED_VALUE"""),"S")</f>
        <v>S</v>
      </c>
      <c r="G27" s="189">
        <f ca="1">IFERROR(__xludf.DUMMYFUNCTION("""COMPUTED_VALUE"""),7)</f>
        <v>7</v>
      </c>
      <c r="H27" s="196"/>
      <c r="I27" s="196"/>
      <c r="J27" s="196"/>
      <c r="K27" s="196"/>
      <c r="L27" s="196" t="str">
        <v/>
      </c>
      <c r="M27" s="196"/>
    </row>
    <row r="28" spans="1:13" ht="14.4" x14ac:dyDescent="0.3">
      <c r="A28" s="189" t="str">
        <f ca="1">IFERROR(__xludf.DUMMYFUNCTION("""COMPUTED_VALUE"""),"A")</f>
        <v>A</v>
      </c>
      <c r="B28" s="195" t="str">
        <f ca="1">IFERROR(__xludf.DUMMYFUNCTION("""COMPUTED_VALUE"""),"Will Miracle")</f>
        <v>Will Miracle</v>
      </c>
      <c r="C28" s="189">
        <f ca="1">IFERROR(__xludf.DUMMYFUNCTION("""COMPUTED_VALUE"""),16)</f>
        <v>16</v>
      </c>
      <c r="D28" s="189" t="str">
        <f ca="1">IFERROR(__xludf.DUMMYFUNCTION("""COMPUTED_VALUE"""),"B")</f>
        <v>B</v>
      </c>
      <c r="E28" s="189" t="str">
        <f ca="1">IFERROR(__xludf.DUMMYFUNCTION("""COMPUTED_VALUE"""),"S")</f>
        <v>S</v>
      </c>
      <c r="F28" s="189" t="str">
        <f ca="1">IFERROR(__xludf.DUMMYFUNCTION("""COMPUTED_VALUE"""),"S")</f>
        <v>S</v>
      </c>
      <c r="G28" s="189">
        <f ca="1">IFERROR(__xludf.DUMMYFUNCTION("""COMPUTED_VALUE"""),7)</f>
        <v>7</v>
      </c>
      <c r="H28" s="196"/>
      <c r="I28" s="196"/>
      <c r="J28" s="196"/>
      <c r="K28" s="196"/>
      <c r="L28" s="196" t="str">
        <v/>
      </c>
      <c r="M28" s="196"/>
    </row>
    <row r="29" spans="1:13" ht="14.4" x14ac:dyDescent="0.3">
      <c r="A29" s="189" t="str">
        <f ca="1">IFERROR(__xludf.DUMMYFUNCTION("""COMPUTED_VALUE"""),"AF")</f>
        <v>AF</v>
      </c>
      <c r="B29" s="195" t="str">
        <f ca="1">IFERROR(__xludf.DUMMYFUNCTION("""COMPUTED_VALUE"""),"Abigail Cassatt")</f>
        <v>Abigail Cassatt</v>
      </c>
      <c r="C29" s="189">
        <f ca="1">IFERROR(__xludf.DUMMYFUNCTION("""COMPUTED_VALUE"""),10)</f>
        <v>10</v>
      </c>
      <c r="D29" s="189" t="str">
        <f ca="1">IFERROR(__xludf.DUMMYFUNCTION("""COMPUTED_VALUE"""),"G")</f>
        <v>G</v>
      </c>
      <c r="E29" s="189" t="str">
        <f ca="1">IFERROR(__xludf.DUMMYFUNCTION("""COMPUTED_VALUE"""),"F")</f>
        <v>F</v>
      </c>
      <c r="F29" s="189" t="str">
        <f ca="1">IFERROR(__xludf.DUMMYFUNCTION("""COMPUTED_VALUE"""),"J")</f>
        <v>J</v>
      </c>
      <c r="G29" s="189">
        <f ca="1">IFERROR(__xludf.DUMMYFUNCTION("""COMPUTED_VALUE"""),7)</f>
        <v>7</v>
      </c>
      <c r="H29" s="196"/>
      <c r="I29" s="196"/>
      <c r="J29" s="196"/>
      <c r="K29" s="196"/>
      <c r="L29" s="196" t="str">
        <v/>
      </c>
      <c r="M29" s="196"/>
    </row>
    <row r="30" spans="1:13" ht="14.4" x14ac:dyDescent="0.3">
      <c r="A30" s="189" t="str">
        <f ca="1">IFERROR(__xludf.DUMMYFUNCTION("""COMPUTED_VALUE"""),"AF")</f>
        <v>AF</v>
      </c>
      <c r="B30" s="195" t="str">
        <f ca="1">IFERROR(__xludf.DUMMYFUNCTION("""COMPUTED_VALUE"""),"Agnes Campbell")</f>
        <v>Agnes Campbell</v>
      </c>
      <c r="C30" s="189">
        <f ca="1">IFERROR(__xludf.DUMMYFUNCTION("""COMPUTED_VALUE"""),10)</f>
        <v>10</v>
      </c>
      <c r="D30" s="189" t="str">
        <f ca="1">IFERROR(__xludf.DUMMYFUNCTION("""COMPUTED_VALUE"""),"G")</f>
        <v>G</v>
      </c>
      <c r="E30" s="189" t="str">
        <f ca="1">IFERROR(__xludf.DUMMYFUNCTION("""COMPUTED_VALUE"""),"F")</f>
        <v>F</v>
      </c>
      <c r="F30" s="189" t="str">
        <f ca="1">IFERROR(__xludf.DUMMYFUNCTION("""COMPUTED_VALUE"""),"J")</f>
        <v>J</v>
      </c>
      <c r="G30" s="189">
        <f ca="1">IFERROR(__xludf.DUMMYFUNCTION("""COMPUTED_VALUE"""),7)</f>
        <v>7</v>
      </c>
      <c r="H30" s="196" t="s">
        <v>48</v>
      </c>
      <c r="I30" s="196"/>
      <c r="J30" s="196" t="s">
        <v>29</v>
      </c>
      <c r="K30" s="196"/>
      <c r="L30" s="196" t="str">
        <v xml:space="preserve"> 46.90</v>
      </c>
      <c r="M30" s="196"/>
    </row>
    <row r="31" spans="1:13" ht="14.4" x14ac:dyDescent="0.3">
      <c r="A31" s="189" t="str">
        <f ca="1">IFERROR(__xludf.DUMMYFUNCTION("""COMPUTED_VALUE"""),"AF")</f>
        <v>AF</v>
      </c>
      <c r="B31" s="195" t="str">
        <f ca="1">IFERROR(__xludf.DUMMYFUNCTION("""COMPUTED_VALUE"""),"Agnes Robert")</f>
        <v>Agnes Robert</v>
      </c>
      <c r="C31" s="189">
        <f ca="1">IFERROR(__xludf.DUMMYFUNCTION("""COMPUTED_VALUE"""),7)</f>
        <v>7</v>
      </c>
      <c r="D31" s="189" t="str">
        <f ca="1">IFERROR(__xludf.DUMMYFUNCTION("""COMPUTED_VALUE"""),"G")</f>
        <v>G</v>
      </c>
      <c r="E31" s="189" t="str">
        <f ca="1">IFERROR(__xludf.DUMMYFUNCTION("""COMPUTED_VALUE"""),"F")</f>
        <v>F</v>
      </c>
      <c r="F31" s="189" t="str">
        <f ca="1">IFERROR(__xludf.DUMMYFUNCTION("""COMPUTED_VALUE"""),"J")</f>
        <v>J</v>
      </c>
      <c r="G31" s="189">
        <f ca="1">IFERROR(__xludf.DUMMYFUNCTION("""COMPUTED_VALUE"""),7)</f>
        <v>7</v>
      </c>
      <c r="H31" s="196" t="s">
        <v>49</v>
      </c>
      <c r="I31" s="196"/>
      <c r="J31" s="196" t="s">
        <v>29</v>
      </c>
      <c r="K31" s="196"/>
      <c r="L31" s="196" t="str">
        <v xml:space="preserve"> 39.15</v>
      </c>
      <c r="M31" s="196"/>
    </row>
    <row r="32" spans="1:13" ht="14.4" x14ac:dyDescent="0.3">
      <c r="A32" s="189" t="str">
        <f ca="1">IFERROR(__xludf.DUMMYFUNCTION("""COMPUTED_VALUE"""),"AF")</f>
        <v>AF</v>
      </c>
      <c r="B32" s="195" t="str">
        <f ca="1">IFERROR(__xludf.DUMMYFUNCTION("""COMPUTED_VALUE"""),"Brogen Cagianesa")</f>
        <v>Brogen Cagianesa</v>
      </c>
      <c r="C32" s="189">
        <f ca="1">IFERROR(__xludf.DUMMYFUNCTION("""COMPUTED_VALUE"""),6)</f>
        <v>6</v>
      </c>
      <c r="D32" s="189" t="str">
        <f ca="1">IFERROR(__xludf.DUMMYFUNCTION("""COMPUTED_VALUE"""),"G")</f>
        <v>G</v>
      </c>
      <c r="E32" s="189" t="str">
        <f ca="1">IFERROR(__xludf.DUMMYFUNCTION("""COMPUTED_VALUE"""),"F")</f>
        <v>F</v>
      </c>
      <c r="F32" s="189" t="str">
        <f ca="1">IFERROR(__xludf.DUMMYFUNCTION("""COMPUTED_VALUE"""),"J")</f>
        <v>J</v>
      </c>
      <c r="G32" s="189">
        <f ca="1">IFERROR(__xludf.DUMMYFUNCTION("""COMPUTED_VALUE"""),7)</f>
        <v>7</v>
      </c>
      <c r="H32" s="196"/>
      <c r="I32" s="196"/>
      <c r="J32" s="196"/>
      <c r="K32" s="196"/>
      <c r="L32" s="196" t="str">
        <v/>
      </c>
      <c r="M32" s="196"/>
    </row>
    <row r="33" spans="1:13" ht="14.4" x14ac:dyDescent="0.3">
      <c r="A33" s="189" t="str">
        <f ca="1">IFERROR(__xludf.DUMMYFUNCTION("""COMPUTED_VALUE"""),"AF")</f>
        <v>AF</v>
      </c>
      <c r="B33" s="195" t="str">
        <f ca="1">IFERROR(__xludf.DUMMYFUNCTION("""COMPUTED_VALUE"""),"Coco Harbeck")</f>
        <v>Coco Harbeck</v>
      </c>
      <c r="C33" s="189">
        <f ca="1">IFERROR(__xludf.DUMMYFUNCTION("""COMPUTED_VALUE"""),8)</f>
        <v>8</v>
      </c>
      <c r="D33" s="189" t="str">
        <f ca="1">IFERROR(__xludf.DUMMYFUNCTION("""COMPUTED_VALUE"""),"G")</f>
        <v>G</v>
      </c>
      <c r="E33" s="189" t="str">
        <f ca="1">IFERROR(__xludf.DUMMYFUNCTION("""COMPUTED_VALUE"""),"F")</f>
        <v>F</v>
      </c>
      <c r="F33" s="189" t="str">
        <f ca="1">IFERROR(__xludf.DUMMYFUNCTION("""COMPUTED_VALUE"""),"J")</f>
        <v>J</v>
      </c>
      <c r="G33" s="189">
        <f ca="1">IFERROR(__xludf.DUMMYFUNCTION("""COMPUTED_VALUE"""),7)</f>
        <v>7</v>
      </c>
      <c r="H33" s="196"/>
      <c r="I33" s="196"/>
      <c r="J33" s="196"/>
      <c r="K33" s="196"/>
      <c r="L33" s="196" t="str">
        <v/>
      </c>
      <c r="M33" s="196"/>
    </row>
    <row r="34" spans="1:13" ht="14.4" x14ac:dyDescent="0.3">
      <c r="A34" s="189" t="str">
        <f ca="1">IFERROR(__xludf.DUMMYFUNCTION("""COMPUTED_VALUE"""),"AF")</f>
        <v>AF</v>
      </c>
      <c r="B34" s="195" t="str">
        <f ca="1">IFERROR(__xludf.DUMMYFUNCTION("""COMPUTED_VALUE"""),"Elm Burke")</f>
        <v>Elm Burke</v>
      </c>
      <c r="C34" s="189">
        <f ca="1">IFERROR(__xludf.DUMMYFUNCTION("""COMPUTED_VALUE"""),7)</f>
        <v>7</v>
      </c>
      <c r="D34" s="189" t="str">
        <f ca="1">IFERROR(__xludf.DUMMYFUNCTION("""COMPUTED_VALUE"""),"G")</f>
        <v>G</v>
      </c>
      <c r="E34" s="189" t="str">
        <f ca="1">IFERROR(__xludf.DUMMYFUNCTION("""COMPUTED_VALUE"""),"F")</f>
        <v>F</v>
      </c>
      <c r="F34" s="189" t="str">
        <f ca="1">IFERROR(__xludf.DUMMYFUNCTION("""COMPUTED_VALUE"""),"J")</f>
        <v>J</v>
      </c>
      <c r="G34" s="189">
        <f ca="1">IFERROR(__xludf.DUMMYFUNCTION("""COMPUTED_VALUE"""),7)</f>
        <v>7</v>
      </c>
      <c r="H34" s="196"/>
      <c r="I34" s="196"/>
      <c r="J34" s="196"/>
      <c r="K34" s="196"/>
      <c r="L34" s="196" t="str">
        <v/>
      </c>
      <c r="M34" s="196"/>
    </row>
    <row r="35" spans="1:13" ht="14.4" x14ac:dyDescent="0.3">
      <c r="A35" s="189" t="str">
        <f ca="1">IFERROR(__xludf.DUMMYFUNCTION("""COMPUTED_VALUE"""),"AF")</f>
        <v>AF</v>
      </c>
      <c r="B35" s="195" t="str">
        <f ca="1">IFERROR(__xludf.DUMMYFUNCTION("""COMPUTED_VALUE"""),"Libby Snow")</f>
        <v>Libby Snow</v>
      </c>
      <c r="C35" s="189">
        <f ca="1">IFERROR(__xludf.DUMMYFUNCTION("""COMPUTED_VALUE"""),8)</f>
        <v>8</v>
      </c>
      <c r="D35" s="189" t="str">
        <f ca="1">IFERROR(__xludf.DUMMYFUNCTION("""COMPUTED_VALUE"""),"G")</f>
        <v>G</v>
      </c>
      <c r="E35" s="189" t="str">
        <f ca="1">IFERROR(__xludf.DUMMYFUNCTION("""COMPUTED_VALUE"""),"F")</f>
        <v>F</v>
      </c>
      <c r="F35" s="189" t="str">
        <f ca="1">IFERROR(__xludf.DUMMYFUNCTION("""COMPUTED_VALUE"""),"J")</f>
        <v>J</v>
      </c>
      <c r="G35" s="189">
        <f ca="1">IFERROR(__xludf.DUMMYFUNCTION("""COMPUTED_VALUE"""),7)</f>
        <v>7</v>
      </c>
      <c r="H35" s="196" t="s">
        <v>50</v>
      </c>
      <c r="I35" s="196"/>
      <c r="J35" s="196" t="s">
        <v>29</v>
      </c>
      <c r="K35" s="196"/>
      <c r="L35" s="196" t="str">
        <v xml:space="preserve"> 28.60</v>
      </c>
      <c r="M35" s="196"/>
    </row>
    <row r="36" spans="1:13" ht="14.4" x14ac:dyDescent="0.3">
      <c r="A36" s="189" t="str">
        <f ca="1">IFERROR(__xludf.DUMMYFUNCTION("""COMPUTED_VALUE"""),"AF")</f>
        <v>AF</v>
      </c>
      <c r="B36" s="195" t="str">
        <f ca="1">IFERROR(__xludf.DUMMYFUNCTION("""COMPUTED_VALUE"""),"Mara Albro")</f>
        <v>Mara Albro</v>
      </c>
      <c r="C36" s="189">
        <f ca="1">IFERROR(__xludf.DUMMYFUNCTION("""COMPUTED_VALUE"""),8)</f>
        <v>8</v>
      </c>
      <c r="D36" s="189" t="str">
        <f ca="1">IFERROR(__xludf.DUMMYFUNCTION("""COMPUTED_VALUE"""),"G")</f>
        <v>G</v>
      </c>
      <c r="E36" s="189" t="str">
        <f ca="1">IFERROR(__xludf.DUMMYFUNCTION("""COMPUTED_VALUE"""),"F")</f>
        <v>F</v>
      </c>
      <c r="F36" s="189" t="str">
        <f ca="1">IFERROR(__xludf.DUMMYFUNCTION("""COMPUTED_VALUE"""),"J")</f>
        <v>J</v>
      </c>
      <c r="G36" s="189">
        <f ca="1">IFERROR(__xludf.DUMMYFUNCTION("""COMPUTED_VALUE"""),7)</f>
        <v>7</v>
      </c>
      <c r="H36" s="196" t="s">
        <v>51</v>
      </c>
      <c r="I36" s="196"/>
      <c r="J36" s="196" t="s">
        <v>29</v>
      </c>
      <c r="K36" s="196"/>
      <c r="L36" s="196" t="str">
        <v xml:space="preserve"> 48.10</v>
      </c>
      <c r="M36" s="196"/>
    </row>
    <row r="37" spans="1:13" ht="14.4" x14ac:dyDescent="0.3">
      <c r="A37" s="189" t="str">
        <f ca="1">IFERROR(__xludf.DUMMYFUNCTION("""COMPUTED_VALUE"""),"AF")</f>
        <v>AF</v>
      </c>
      <c r="B37" s="195" t="str">
        <f ca="1">IFERROR(__xludf.DUMMYFUNCTION("""COMPUTED_VALUE"""),"Mia Harbeck")</f>
        <v>Mia Harbeck</v>
      </c>
      <c r="C37" s="189">
        <f ca="1">IFERROR(__xludf.DUMMYFUNCTION("""COMPUTED_VALUE"""),10)</f>
        <v>10</v>
      </c>
      <c r="D37" s="189" t="str">
        <f ca="1">IFERROR(__xludf.DUMMYFUNCTION("""COMPUTED_VALUE"""),"G")</f>
        <v>G</v>
      </c>
      <c r="E37" s="189" t="str">
        <f ca="1">IFERROR(__xludf.DUMMYFUNCTION("""COMPUTED_VALUE"""),"F")</f>
        <v>F</v>
      </c>
      <c r="F37" s="189" t="str">
        <f ca="1">IFERROR(__xludf.DUMMYFUNCTION("""COMPUTED_VALUE"""),"J")</f>
        <v>J</v>
      </c>
      <c r="G37" s="189">
        <f ca="1">IFERROR(__xludf.DUMMYFUNCTION("""COMPUTED_VALUE"""),7)</f>
        <v>7</v>
      </c>
      <c r="H37" s="196" t="s">
        <v>52</v>
      </c>
      <c r="I37" s="196"/>
      <c r="J37" s="196" t="s">
        <v>29</v>
      </c>
      <c r="K37" s="196"/>
      <c r="L37" s="196" t="str">
        <v xml:space="preserve"> 77.50</v>
      </c>
      <c r="M37" s="196"/>
    </row>
    <row r="38" spans="1:13" ht="14.4" x14ac:dyDescent="0.3">
      <c r="A38" s="189" t="str">
        <f ca="1">IFERROR(__xludf.DUMMYFUNCTION("""COMPUTED_VALUE"""),"AF")</f>
        <v>AF</v>
      </c>
      <c r="B38" s="195" t="str">
        <f ca="1">IFERROR(__xludf.DUMMYFUNCTION("""COMPUTED_VALUE"""),"Michaela Swartz")</f>
        <v>Michaela Swartz</v>
      </c>
      <c r="C38" s="189">
        <f ca="1">IFERROR(__xludf.DUMMYFUNCTION("""COMPUTED_VALUE"""),10)</f>
        <v>10</v>
      </c>
      <c r="D38" s="189" t="str">
        <f ca="1">IFERROR(__xludf.DUMMYFUNCTION("""COMPUTED_VALUE"""),"G")</f>
        <v>G</v>
      </c>
      <c r="E38" s="189" t="str">
        <f ca="1">IFERROR(__xludf.DUMMYFUNCTION("""COMPUTED_VALUE"""),"F")</f>
        <v>F</v>
      </c>
      <c r="F38" s="189" t="str">
        <f ca="1">IFERROR(__xludf.DUMMYFUNCTION("""COMPUTED_VALUE"""),"J")</f>
        <v>J</v>
      </c>
      <c r="G38" s="189">
        <f ca="1">IFERROR(__xludf.DUMMYFUNCTION("""COMPUTED_VALUE"""),7)</f>
        <v>7</v>
      </c>
      <c r="H38" s="196"/>
      <c r="I38" s="196"/>
      <c r="J38" s="196"/>
      <c r="K38" s="196"/>
      <c r="L38" s="196" t="str">
        <v/>
      </c>
      <c r="M38" s="196"/>
    </row>
    <row r="39" spans="1:13" ht="14.4" x14ac:dyDescent="0.3">
      <c r="A39" s="189" t="str">
        <f ca="1">IFERROR(__xludf.DUMMYFUNCTION("""COMPUTED_VALUE"""),"AF")</f>
        <v>AF</v>
      </c>
      <c r="B39" s="195" t="str">
        <f ca="1">IFERROR(__xludf.DUMMYFUNCTION("""COMPUTED_VALUE"""),"Odile Burke")</f>
        <v>Odile Burke</v>
      </c>
      <c r="C39" s="189">
        <f ca="1">IFERROR(__xludf.DUMMYFUNCTION("""COMPUTED_VALUE"""),7)</f>
        <v>7</v>
      </c>
      <c r="D39" s="189" t="str">
        <f ca="1">IFERROR(__xludf.DUMMYFUNCTION("""COMPUTED_VALUE"""),"G")</f>
        <v>G</v>
      </c>
      <c r="E39" s="189" t="str">
        <f ca="1">IFERROR(__xludf.DUMMYFUNCTION("""COMPUTED_VALUE"""),"F")</f>
        <v>F</v>
      </c>
      <c r="F39" s="189" t="str">
        <f ca="1">IFERROR(__xludf.DUMMYFUNCTION("""COMPUTED_VALUE"""),"J")</f>
        <v>J</v>
      </c>
      <c r="G39" s="189">
        <f ca="1">IFERROR(__xludf.DUMMYFUNCTION("""COMPUTED_VALUE"""),7)</f>
        <v>7</v>
      </c>
      <c r="H39" s="196"/>
      <c r="I39" s="196"/>
      <c r="J39" s="196"/>
      <c r="K39" s="196"/>
      <c r="L39" s="196" t="str">
        <v/>
      </c>
      <c r="M39" s="196"/>
    </row>
    <row r="40" spans="1:13" ht="14.4" x14ac:dyDescent="0.3">
      <c r="A40" s="189" t="str">
        <f ca="1">IFERROR(__xludf.DUMMYFUNCTION("""COMPUTED_VALUE"""),"AF")</f>
        <v>AF</v>
      </c>
      <c r="B40" s="195" t="str">
        <f ca="1">IFERROR(__xludf.DUMMYFUNCTION("""COMPUTED_VALUE"""),"Parker Sachs")</f>
        <v>Parker Sachs</v>
      </c>
      <c r="C40" s="189">
        <f ca="1">IFERROR(__xludf.DUMMYFUNCTION("""COMPUTED_VALUE"""),10)</f>
        <v>10</v>
      </c>
      <c r="D40" s="189" t="str">
        <f ca="1">IFERROR(__xludf.DUMMYFUNCTION("""COMPUTED_VALUE"""),"G")</f>
        <v>G</v>
      </c>
      <c r="E40" s="189" t="str">
        <f ca="1">IFERROR(__xludf.DUMMYFUNCTION("""COMPUTED_VALUE"""),"F")</f>
        <v>F</v>
      </c>
      <c r="F40" s="189" t="str">
        <f ca="1">IFERROR(__xludf.DUMMYFUNCTION("""COMPUTED_VALUE"""),"J")</f>
        <v>J</v>
      </c>
      <c r="G40" s="189">
        <f ca="1">IFERROR(__xludf.DUMMYFUNCTION("""COMPUTED_VALUE"""),7)</f>
        <v>7</v>
      </c>
      <c r="H40" s="196"/>
      <c r="I40" s="196"/>
      <c r="J40" s="196"/>
      <c r="K40" s="196"/>
      <c r="L40" s="196" t="str">
        <v/>
      </c>
      <c r="M40" s="196"/>
    </row>
    <row r="41" spans="1:13" ht="14.4" x14ac:dyDescent="0.3">
      <c r="A41" s="189" t="str">
        <f ca="1">IFERROR(__xludf.DUMMYFUNCTION("""COMPUTED_VALUE"""),"AF")</f>
        <v>AF</v>
      </c>
      <c r="B41" s="195" t="str">
        <f ca="1">IFERROR(__xludf.DUMMYFUNCTION("""COMPUTED_VALUE"""),"Vi Robert")</f>
        <v>Vi Robert</v>
      </c>
      <c r="C41" s="189">
        <f ca="1">IFERROR(__xludf.DUMMYFUNCTION("""COMPUTED_VALUE"""),9)</f>
        <v>9</v>
      </c>
      <c r="D41" s="189" t="str">
        <f ca="1">IFERROR(__xludf.DUMMYFUNCTION("""COMPUTED_VALUE"""),"G")</f>
        <v>G</v>
      </c>
      <c r="E41" s="189" t="str">
        <f ca="1">IFERROR(__xludf.DUMMYFUNCTION("""COMPUTED_VALUE"""),"F")</f>
        <v>F</v>
      </c>
      <c r="F41" s="189" t="str">
        <f ca="1">IFERROR(__xludf.DUMMYFUNCTION("""COMPUTED_VALUE"""),"J")</f>
        <v>J</v>
      </c>
      <c r="G41" s="189">
        <f ca="1">IFERROR(__xludf.DUMMYFUNCTION("""COMPUTED_VALUE"""),7)</f>
        <v>7</v>
      </c>
      <c r="H41" s="196" t="s">
        <v>53</v>
      </c>
      <c r="I41" s="196"/>
      <c r="J41" s="196" t="s">
        <v>29</v>
      </c>
      <c r="K41" s="196"/>
      <c r="L41" s="196" t="str">
        <v xml:space="preserve"> 53.30</v>
      </c>
      <c r="M41" s="196"/>
    </row>
    <row r="42" spans="1:13" ht="14.4" x14ac:dyDescent="0.3">
      <c r="A42" s="189" t="str">
        <f ca="1">IFERROR(__xludf.DUMMYFUNCTION("""COMPUTED_VALUE"""),"AF")</f>
        <v>AF</v>
      </c>
      <c r="B42" s="195" t="str">
        <f ca="1">IFERROR(__xludf.DUMMYFUNCTION("""COMPUTED_VALUE"""),"Victoria Beier")</f>
        <v>Victoria Beier</v>
      </c>
      <c r="C42" s="189">
        <f ca="1">IFERROR(__xludf.DUMMYFUNCTION("""COMPUTED_VALUE"""),9)</f>
        <v>9</v>
      </c>
      <c r="D42" s="189" t="str">
        <f ca="1">IFERROR(__xludf.DUMMYFUNCTION("""COMPUTED_VALUE"""),"G")</f>
        <v>G</v>
      </c>
      <c r="E42" s="189" t="str">
        <f ca="1">IFERROR(__xludf.DUMMYFUNCTION("""COMPUTED_VALUE"""),"F")</f>
        <v>F</v>
      </c>
      <c r="F42" s="189" t="str">
        <f ca="1">IFERROR(__xludf.DUMMYFUNCTION("""COMPUTED_VALUE"""),"J")</f>
        <v>J</v>
      </c>
      <c r="G42" s="189">
        <f ca="1">IFERROR(__xludf.DUMMYFUNCTION("""COMPUTED_VALUE"""),7)</f>
        <v>7</v>
      </c>
      <c r="H42" s="196" t="s">
        <v>54</v>
      </c>
      <c r="I42" s="196"/>
      <c r="J42" s="196" t="s">
        <v>29</v>
      </c>
      <c r="K42" s="196"/>
      <c r="L42" s="196" t="str">
        <v xml:space="preserve"> 53.35</v>
      </c>
      <c r="M42" s="196"/>
    </row>
    <row r="43" spans="1:13" ht="14.4" x14ac:dyDescent="0.3">
      <c r="A43" s="189" t="str">
        <f ca="1">IFERROR(__xludf.DUMMYFUNCTION("""COMPUTED_VALUE"""),"AF")</f>
        <v>AF</v>
      </c>
      <c r="B43" s="195" t="str">
        <f ca="1">IFERROR(__xludf.DUMMYFUNCTION("""COMPUTED_VALUE"""),"Brandon Dasch")</f>
        <v>Brandon Dasch</v>
      </c>
      <c r="C43" s="189">
        <f ca="1">IFERROR(__xludf.DUMMYFUNCTION("""COMPUTED_VALUE"""),9)</f>
        <v>9</v>
      </c>
      <c r="D43" s="189" t="str">
        <f ca="1">IFERROR(__xludf.DUMMYFUNCTION("""COMPUTED_VALUE"""),"B")</f>
        <v>B</v>
      </c>
      <c r="E43" s="189" t="str">
        <f ca="1">IFERROR(__xludf.DUMMYFUNCTION("""COMPUTED_VALUE"""),"F")</f>
        <v>F</v>
      </c>
      <c r="F43" s="189" t="str">
        <f ca="1">IFERROR(__xludf.DUMMYFUNCTION("""COMPUTED_VALUE"""),"J")</f>
        <v>J</v>
      </c>
      <c r="G43" s="189">
        <f ca="1">IFERROR(__xludf.DUMMYFUNCTION("""COMPUTED_VALUE"""),7)</f>
        <v>7</v>
      </c>
      <c r="H43" s="196"/>
      <c r="I43" s="196"/>
      <c r="J43" s="196"/>
      <c r="K43" s="196"/>
      <c r="L43" s="196" t="str">
        <v/>
      </c>
      <c r="M43" s="196"/>
    </row>
    <row r="44" spans="1:13" ht="14.4" x14ac:dyDescent="0.3">
      <c r="A44" s="189" t="str">
        <f ca="1">IFERROR(__xludf.DUMMYFUNCTION("""COMPUTED_VALUE"""),"AF")</f>
        <v>AF</v>
      </c>
      <c r="B44" s="195" t="str">
        <f ca="1">IFERROR(__xludf.DUMMYFUNCTION("""COMPUTED_VALUE"""),"Connor Bergen")</f>
        <v>Connor Bergen</v>
      </c>
      <c r="C44" s="189">
        <f ca="1">IFERROR(__xludf.DUMMYFUNCTION("""COMPUTED_VALUE"""),9)</f>
        <v>9</v>
      </c>
      <c r="D44" s="189" t="str">
        <f ca="1">IFERROR(__xludf.DUMMYFUNCTION("""COMPUTED_VALUE"""),"B")</f>
        <v>B</v>
      </c>
      <c r="E44" s="189" t="str">
        <f ca="1">IFERROR(__xludf.DUMMYFUNCTION("""COMPUTED_VALUE"""),"F")</f>
        <v>F</v>
      </c>
      <c r="F44" s="189" t="str">
        <f ca="1">IFERROR(__xludf.DUMMYFUNCTION("""COMPUTED_VALUE"""),"J")</f>
        <v>J</v>
      </c>
      <c r="G44" s="189">
        <f ca="1">IFERROR(__xludf.DUMMYFUNCTION("""COMPUTED_VALUE"""),7)</f>
        <v>7</v>
      </c>
      <c r="H44" s="196"/>
      <c r="I44" s="196"/>
      <c r="J44" s="196"/>
      <c r="K44" s="196"/>
      <c r="L44" s="196" t="str">
        <v/>
      </c>
      <c r="M44" s="196"/>
    </row>
    <row r="45" spans="1:13" ht="14.4" x14ac:dyDescent="0.3">
      <c r="A45" s="189" t="str">
        <f ca="1">IFERROR(__xludf.DUMMYFUNCTION("""COMPUTED_VALUE"""),"AF")</f>
        <v>AF</v>
      </c>
      <c r="B45" s="195" t="str">
        <f ca="1">IFERROR(__xludf.DUMMYFUNCTION("""COMPUTED_VALUE"""),"Connor Brannan")</f>
        <v>Connor Brannan</v>
      </c>
      <c r="C45" s="189">
        <f ca="1">IFERROR(__xludf.DUMMYFUNCTION("""COMPUTED_VALUE"""),10)</f>
        <v>10</v>
      </c>
      <c r="D45" s="189" t="str">
        <f ca="1">IFERROR(__xludf.DUMMYFUNCTION("""COMPUTED_VALUE"""),"B")</f>
        <v>B</v>
      </c>
      <c r="E45" s="189" t="str">
        <f ca="1">IFERROR(__xludf.DUMMYFUNCTION("""COMPUTED_VALUE"""),"F")</f>
        <v>F</v>
      </c>
      <c r="F45" s="189" t="str">
        <f ca="1">IFERROR(__xludf.DUMMYFUNCTION("""COMPUTED_VALUE"""),"J")</f>
        <v>J</v>
      </c>
      <c r="G45" s="189">
        <f ca="1">IFERROR(__xludf.DUMMYFUNCTION("""COMPUTED_VALUE"""),7)</f>
        <v>7</v>
      </c>
      <c r="H45" s="196"/>
      <c r="I45" s="196"/>
      <c r="J45" s="196"/>
      <c r="K45" s="196"/>
      <c r="L45" s="196" t="str">
        <v/>
      </c>
      <c r="M45" s="196"/>
    </row>
    <row r="46" spans="1:13" ht="14.4" x14ac:dyDescent="0.3">
      <c r="A46" s="189" t="str">
        <f ca="1">IFERROR(__xludf.DUMMYFUNCTION("""COMPUTED_VALUE"""),"AF")</f>
        <v>AF</v>
      </c>
      <c r="B46" s="195" t="str">
        <f ca="1">IFERROR(__xludf.DUMMYFUNCTION("""COMPUTED_VALUE"""),"Gibson Cagianesa")</f>
        <v>Gibson Cagianesa</v>
      </c>
      <c r="C46" s="189">
        <f ca="1">IFERROR(__xludf.DUMMYFUNCTION("""COMPUTED_VALUE"""),4)</f>
        <v>4</v>
      </c>
      <c r="D46" s="189" t="str">
        <f ca="1">IFERROR(__xludf.DUMMYFUNCTION("""COMPUTED_VALUE"""),"B")</f>
        <v>B</v>
      </c>
      <c r="E46" s="189" t="str">
        <f ca="1">IFERROR(__xludf.DUMMYFUNCTION("""COMPUTED_VALUE"""),"F")</f>
        <v>F</v>
      </c>
      <c r="F46" s="189" t="str">
        <f ca="1">IFERROR(__xludf.DUMMYFUNCTION("""COMPUTED_VALUE"""),"J")</f>
        <v>J</v>
      </c>
      <c r="G46" s="189">
        <f ca="1">IFERROR(__xludf.DUMMYFUNCTION("""COMPUTED_VALUE"""),7)</f>
        <v>7</v>
      </c>
      <c r="H46" s="196"/>
      <c r="I46" s="196"/>
      <c r="J46" s="196"/>
      <c r="K46" s="196"/>
      <c r="L46" s="196" t="str">
        <v/>
      </c>
      <c r="M46" s="196"/>
    </row>
    <row r="47" spans="1:13" ht="14.4" x14ac:dyDescent="0.3">
      <c r="A47" s="189" t="str">
        <f ca="1">IFERROR(__xludf.DUMMYFUNCTION("""COMPUTED_VALUE"""),"AF")</f>
        <v>AF</v>
      </c>
      <c r="B47" s="195" t="str">
        <f ca="1">IFERROR(__xludf.DUMMYFUNCTION("""COMPUTED_VALUE"""),"Hershey Zeeman")</f>
        <v>Hershey Zeeman</v>
      </c>
      <c r="C47" s="189">
        <f ca="1">IFERROR(__xludf.DUMMYFUNCTION("""COMPUTED_VALUE"""),9)</f>
        <v>9</v>
      </c>
      <c r="D47" s="189" t="str">
        <f ca="1">IFERROR(__xludf.DUMMYFUNCTION("""COMPUTED_VALUE"""),"B")</f>
        <v>B</v>
      </c>
      <c r="E47" s="189" t="str">
        <f ca="1">IFERROR(__xludf.DUMMYFUNCTION("""COMPUTED_VALUE"""),"F")</f>
        <v>F</v>
      </c>
      <c r="F47" s="189" t="str">
        <f ca="1">IFERROR(__xludf.DUMMYFUNCTION("""COMPUTED_VALUE"""),"J")</f>
        <v>J</v>
      </c>
      <c r="G47" s="189">
        <f ca="1">IFERROR(__xludf.DUMMYFUNCTION("""COMPUTED_VALUE"""),7)</f>
        <v>7</v>
      </c>
      <c r="H47" s="196"/>
      <c r="I47" s="196"/>
      <c r="J47" s="196"/>
      <c r="K47" s="196"/>
      <c r="L47" s="196" t="str">
        <v/>
      </c>
      <c r="M47" s="196"/>
    </row>
    <row r="48" spans="1:13" ht="14.4" x14ac:dyDescent="0.3">
      <c r="A48" s="189" t="str">
        <f ca="1">IFERROR(__xludf.DUMMYFUNCTION("""COMPUTED_VALUE"""),"AF")</f>
        <v>AF</v>
      </c>
      <c r="B48" s="195" t="str">
        <f ca="1">IFERROR(__xludf.DUMMYFUNCTION("""COMPUTED_VALUE"""),"R. Emerson Koch")</f>
        <v>R. Emerson Koch</v>
      </c>
      <c r="C48" s="189">
        <f ca="1">IFERROR(__xludf.DUMMYFUNCTION("""COMPUTED_VALUE"""),10)</f>
        <v>10</v>
      </c>
      <c r="D48" s="189" t="str">
        <f ca="1">IFERROR(__xludf.DUMMYFUNCTION("""COMPUTED_VALUE"""),"B")</f>
        <v>B</v>
      </c>
      <c r="E48" s="189" t="str">
        <f ca="1">IFERROR(__xludf.DUMMYFUNCTION("""COMPUTED_VALUE"""),"F")</f>
        <v>F</v>
      </c>
      <c r="F48" s="189" t="str">
        <f ca="1">IFERROR(__xludf.DUMMYFUNCTION("""COMPUTED_VALUE"""),"J")</f>
        <v>J</v>
      </c>
      <c r="G48" s="189">
        <f ca="1">IFERROR(__xludf.DUMMYFUNCTION("""COMPUTED_VALUE"""),7)</f>
        <v>7</v>
      </c>
      <c r="H48" s="196" t="s">
        <v>55</v>
      </c>
      <c r="I48" s="196"/>
      <c r="J48" s="196" t="s">
        <v>29</v>
      </c>
      <c r="K48" s="196"/>
      <c r="L48" s="196" t="str">
        <v xml:space="preserve"> 45.60</v>
      </c>
      <c r="M48" s="196"/>
    </row>
    <row r="49" spans="1:13" ht="14.4" x14ac:dyDescent="0.3">
      <c r="A49" s="189" t="str">
        <f ca="1">IFERROR(__xludf.DUMMYFUNCTION("""COMPUTED_VALUE"""),"AF")</f>
        <v>AF</v>
      </c>
      <c r="B49" s="195" t="str">
        <f ca="1">IFERROR(__xludf.DUMMYFUNCTION("""COMPUTED_VALUE"""),"Tristan Dasch")</f>
        <v>Tristan Dasch</v>
      </c>
      <c r="C49" s="189">
        <f ca="1">IFERROR(__xludf.DUMMYFUNCTION("""COMPUTED_VALUE"""),7)</f>
        <v>7</v>
      </c>
      <c r="D49" s="189" t="str">
        <f ca="1">IFERROR(__xludf.DUMMYFUNCTION("""COMPUTED_VALUE"""),"B")</f>
        <v>B</v>
      </c>
      <c r="E49" s="189" t="str">
        <f ca="1">IFERROR(__xludf.DUMMYFUNCTION("""COMPUTED_VALUE"""),"F")</f>
        <v>F</v>
      </c>
      <c r="F49" s="189" t="str">
        <f ca="1">IFERROR(__xludf.DUMMYFUNCTION("""COMPUTED_VALUE"""),"J")</f>
        <v>J</v>
      </c>
      <c r="G49" s="189">
        <f ca="1">IFERROR(__xludf.DUMMYFUNCTION("""COMPUTED_VALUE"""),7)</f>
        <v>7</v>
      </c>
      <c r="H49" s="196"/>
      <c r="I49" s="196"/>
      <c r="J49" s="196"/>
      <c r="K49" s="196"/>
      <c r="L49" s="196" t="str">
        <v/>
      </c>
      <c r="M49" s="196"/>
    </row>
    <row r="50" spans="1:13" ht="14.4" x14ac:dyDescent="0.3">
      <c r="A50" s="189" t="str">
        <f ca="1">IFERROR(__xludf.DUMMYFUNCTION("""COMPUTED_VALUE"""),"AF")</f>
        <v>AF</v>
      </c>
      <c r="B50" s="195" t="str">
        <f ca="1">IFERROR(__xludf.DUMMYFUNCTION("""COMPUTED_VALUE"""),"Claire Polsinelli")</f>
        <v>Claire Polsinelli</v>
      </c>
      <c r="C50" s="189">
        <f ca="1">IFERROR(__xludf.DUMMYFUNCTION("""COMPUTED_VALUE"""),13)</f>
        <v>13</v>
      </c>
      <c r="D50" s="189" t="str">
        <f ca="1">IFERROR(__xludf.DUMMYFUNCTION("""COMPUTED_VALUE"""),"G")</f>
        <v>G</v>
      </c>
      <c r="E50" s="189" t="str">
        <f ca="1">IFERROR(__xludf.DUMMYFUNCTION("""COMPUTED_VALUE"""),"I")</f>
        <v>I</v>
      </c>
      <c r="F50" s="189" t="str">
        <f ca="1">IFERROR(__xludf.DUMMYFUNCTION("""COMPUTED_VALUE"""),"S")</f>
        <v>S</v>
      </c>
      <c r="G50" s="189">
        <f ca="1">IFERROR(__xludf.DUMMYFUNCTION("""COMPUTED_VALUE"""),7)</f>
        <v>7</v>
      </c>
      <c r="H50" s="196" t="s">
        <v>56</v>
      </c>
      <c r="I50" s="196"/>
      <c r="J50" s="196" t="s">
        <v>29</v>
      </c>
      <c r="K50" s="196"/>
      <c r="L50" s="196" t="str">
        <v xml:space="preserve"> 103.35</v>
      </c>
      <c r="M50" s="196"/>
    </row>
    <row r="51" spans="1:13" ht="14.4" x14ac:dyDescent="0.3">
      <c r="A51" s="189" t="str">
        <f ca="1">IFERROR(__xludf.DUMMYFUNCTION("""COMPUTED_VALUE"""),"AF")</f>
        <v>AF</v>
      </c>
      <c r="B51" s="195" t="str">
        <f ca="1">IFERROR(__xludf.DUMMYFUNCTION("""COMPUTED_VALUE"""),"Banks Buergler")</f>
        <v>Banks Buergler</v>
      </c>
      <c r="C51" s="189">
        <f ca="1">IFERROR(__xludf.DUMMYFUNCTION("""COMPUTED_VALUE"""),13)</f>
        <v>13</v>
      </c>
      <c r="D51" s="189" t="str">
        <f ca="1">IFERROR(__xludf.DUMMYFUNCTION("""COMPUTED_VALUE"""),"B")</f>
        <v>B</v>
      </c>
      <c r="E51" s="189" t="str">
        <f ca="1">IFERROR(__xludf.DUMMYFUNCTION("""COMPUTED_VALUE"""),"I")</f>
        <v>I</v>
      </c>
      <c r="F51" s="189" t="str">
        <f ca="1">IFERROR(__xludf.DUMMYFUNCTION("""COMPUTED_VALUE"""),"S")</f>
        <v>S</v>
      </c>
      <c r="G51" s="189">
        <f ca="1">IFERROR(__xludf.DUMMYFUNCTION("""COMPUTED_VALUE"""),7)</f>
        <v>7</v>
      </c>
      <c r="H51" s="196" t="s">
        <v>57</v>
      </c>
      <c r="I51" s="196"/>
      <c r="J51" s="196" t="s">
        <v>29</v>
      </c>
      <c r="K51" s="196"/>
      <c r="L51" s="196" t="str">
        <v xml:space="preserve"> 130.25</v>
      </c>
      <c r="M51" s="196"/>
    </row>
    <row r="52" spans="1:13" ht="14.4" x14ac:dyDescent="0.3">
      <c r="A52" s="189" t="str">
        <f ca="1">IFERROR(__xludf.DUMMYFUNCTION("""COMPUTED_VALUE"""),"AF")</f>
        <v>AF</v>
      </c>
      <c r="B52" s="195" t="str">
        <f ca="1">IFERROR(__xludf.DUMMYFUNCTION("""COMPUTED_VALUE"""),"Elias Cater")</f>
        <v>Elias Cater</v>
      </c>
      <c r="C52" s="189">
        <f ca="1">IFERROR(__xludf.DUMMYFUNCTION("""COMPUTED_VALUE"""),13)</f>
        <v>13</v>
      </c>
      <c r="D52" s="189" t="str">
        <f ca="1">IFERROR(__xludf.DUMMYFUNCTION("""COMPUTED_VALUE"""),"B")</f>
        <v>B</v>
      </c>
      <c r="E52" s="189" t="str">
        <f ca="1">IFERROR(__xludf.DUMMYFUNCTION("""COMPUTED_VALUE"""),"I")</f>
        <v>I</v>
      </c>
      <c r="F52" s="189" t="str">
        <f ca="1">IFERROR(__xludf.DUMMYFUNCTION("""COMPUTED_VALUE"""),"S")</f>
        <v>S</v>
      </c>
      <c r="G52" s="189">
        <f ca="1">IFERROR(__xludf.DUMMYFUNCTION("""COMPUTED_VALUE"""),7)</f>
        <v>7</v>
      </c>
      <c r="H52" s="196"/>
      <c r="I52" s="196"/>
      <c r="J52" s="196"/>
      <c r="K52" s="196"/>
      <c r="L52" s="196" t="str">
        <v/>
      </c>
      <c r="M52" s="196"/>
    </row>
    <row r="53" spans="1:13" ht="14.4" x14ac:dyDescent="0.3">
      <c r="A53" s="189" t="str">
        <f ca="1">IFERROR(__xludf.DUMMYFUNCTION("""COMPUTED_VALUE"""),"AF")</f>
        <v>AF</v>
      </c>
      <c r="B53" s="195" t="str">
        <f ca="1">IFERROR(__xludf.DUMMYFUNCTION("""COMPUTED_VALUE"""),"Matthew Petruccelli")</f>
        <v>Matthew Petruccelli</v>
      </c>
      <c r="C53" s="189">
        <f ca="1">IFERROR(__xludf.DUMMYFUNCTION("""COMPUTED_VALUE"""),13)</f>
        <v>13</v>
      </c>
      <c r="D53" s="189" t="str">
        <f ca="1">IFERROR(__xludf.DUMMYFUNCTION("""COMPUTED_VALUE"""),"B")</f>
        <v>B</v>
      </c>
      <c r="E53" s="189" t="str">
        <f ca="1">IFERROR(__xludf.DUMMYFUNCTION("""COMPUTED_VALUE"""),"I")</f>
        <v>I</v>
      </c>
      <c r="F53" s="189" t="str">
        <f ca="1">IFERROR(__xludf.DUMMYFUNCTION("""COMPUTED_VALUE"""),"S")</f>
        <v>S</v>
      </c>
      <c r="G53" s="189">
        <f ca="1">IFERROR(__xludf.DUMMYFUNCTION("""COMPUTED_VALUE"""),7)</f>
        <v>7</v>
      </c>
      <c r="H53" s="196" t="s">
        <v>58</v>
      </c>
      <c r="I53" s="196"/>
      <c r="J53" s="196" t="s">
        <v>29</v>
      </c>
      <c r="K53" s="196"/>
      <c r="L53" s="196" t="str">
        <v xml:space="preserve"> 127.35</v>
      </c>
      <c r="M53" s="196"/>
    </row>
    <row r="54" spans="1:13" ht="14.4" x14ac:dyDescent="0.3">
      <c r="A54" s="189" t="str">
        <f ca="1">IFERROR(__xludf.DUMMYFUNCTION("""COMPUTED_VALUE"""),"AF")</f>
        <v>AF</v>
      </c>
      <c r="B54" s="195" t="str">
        <f ca="1">IFERROR(__xludf.DUMMYFUNCTION("""COMPUTED_VALUE"""),"Quinn Coogen")</f>
        <v>Quinn Coogen</v>
      </c>
      <c r="C54" s="189">
        <f ca="1">IFERROR(__xludf.DUMMYFUNCTION("""COMPUTED_VALUE"""),14)</f>
        <v>14</v>
      </c>
      <c r="D54" s="189" t="str">
        <f ca="1">IFERROR(__xludf.DUMMYFUNCTION("""COMPUTED_VALUE"""),"B")</f>
        <v>B</v>
      </c>
      <c r="E54" s="189" t="str">
        <f ca="1">IFERROR(__xludf.DUMMYFUNCTION("""COMPUTED_VALUE"""),"I")</f>
        <v>I</v>
      </c>
      <c r="F54" s="189" t="str">
        <f ca="1">IFERROR(__xludf.DUMMYFUNCTION("""COMPUTED_VALUE"""),"S")</f>
        <v>S</v>
      </c>
      <c r="G54" s="189">
        <f ca="1">IFERROR(__xludf.DUMMYFUNCTION("""COMPUTED_VALUE"""),7)</f>
        <v>7</v>
      </c>
      <c r="H54" s="196" t="s">
        <v>59</v>
      </c>
      <c r="I54" s="196"/>
      <c r="J54" s="196" t="s">
        <v>29</v>
      </c>
      <c r="K54" s="196"/>
      <c r="L54" s="196" t="str">
        <v xml:space="preserve"> 145.10</v>
      </c>
      <c r="M54" s="196"/>
    </row>
    <row r="55" spans="1:13" ht="14.4" x14ac:dyDescent="0.3">
      <c r="A55" s="189" t="str">
        <f ca="1">IFERROR(__xludf.DUMMYFUNCTION("""COMPUTED_VALUE"""),"AF")</f>
        <v>AF</v>
      </c>
      <c r="B55" s="195" t="str">
        <f ca="1">IFERROR(__xludf.DUMMYFUNCTION("""COMPUTED_VALUE"""),"Campbell Black")</f>
        <v>Campbell Black</v>
      </c>
      <c r="C55" s="189">
        <f ca="1">IFERROR(__xludf.DUMMYFUNCTION("""COMPUTED_VALUE"""),11)</f>
        <v>11</v>
      </c>
      <c r="D55" s="189" t="str">
        <f ca="1">IFERROR(__xludf.DUMMYFUNCTION("""COMPUTED_VALUE"""),"G")</f>
        <v>G</v>
      </c>
      <c r="E55" s="189" t="str">
        <f ca="1">IFERROR(__xludf.DUMMYFUNCTION("""COMPUTED_VALUE"""),"J")</f>
        <v>J</v>
      </c>
      <c r="F55" s="189" t="str">
        <f ca="1">IFERROR(__xludf.DUMMYFUNCTION("""COMPUTED_VALUE"""),"I")</f>
        <v>I</v>
      </c>
      <c r="G55" s="189">
        <f ca="1">IFERROR(__xludf.DUMMYFUNCTION("""COMPUTED_VALUE"""),7)</f>
        <v>7</v>
      </c>
      <c r="H55" s="196" t="s">
        <v>60</v>
      </c>
      <c r="I55" s="196"/>
      <c r="J55" s="196" t="s">
        <v>29</v>
      </c>
      <c r="K55" s="196"/>
      <c r="L55" s="196" t="str">
        <v xml:space="preserve"> 67.55</v>
      </c>
      <c r="M55" s="196"/>
    </row>
    <row r="56" spans="1:13" ht="14.4" x14ac:dyDescent="0.3">
      <c r="A56" s="189" t="str">
        <f ca="1">IFERROR(__xludf.DUMMYFUNCTION("""COMPUTED_VALUE"""),"AF")</f>
        <v>AF</v>
      </c>
      <c r="B56" s="195" t="str">
        <f ca="1">IFERROR(__xludf.DUMMYFUNCTION("""COMPUTED_VALUE"""),"Ella Turner")</f>
        <v>Ella Turner</v>
      </c>
      <c r="C56" s="189">
        <f ca="1">IFERROR(__xludf.DUMMYFUNCTION("""COMPUTED_VALUE"""),11)</f>
        <v>11</v>
      </c>
      <c r="D56" s="189" t="str">
        <f ca="1">IFERROR(__xludf.DUMMYFUNCTION("""COMPUTED_VALUE"""),"G")</f>
        <v>G</v>
      </c>
      <c r="E56" s="189" t="str">
        <f ca="1">IFERROR(__xludf.DUMMYFUNCTION("""COMPUTED_VALUE"""),"J")</f>
        <v>J</v>
      </c>
      <c r="F56" s="189" t="str">
        <f ca="1">IFERROR(__xludf.DUMMYFUNCTION("""COMPUTED_VALUE"""),"I")</f>
        <v>I</v>
      </c>
      <c r="G56" s="189">
        <f ca="1">IFERROR(__xludf.DUMMYFUNCTION("""COMPUTED_VALUE"""),7)</f>
        <v>7</v>
      </c>
      <c r="H56" s="196" t="s">
        <v>61</v>
      </c>
      <c r="I56" s="196"/>
      <c r="J56" s="196" t="s">
        <v>29</v>
      </c>
      <c r="K56" s="196"/>
      <c r="L56" s="196" t="str">
        <v xml:space="preserve"> 71.40</v>
      </c>
      <c r="M56" s="196"/>
    </row>
    <row r="57" spans="1:13" ht="14.4" x14ac:dyDescent="0.3">
      <c r="A57" s="189" t="str">
        <f ca="1">IFERROR(__xludf.DUMMYFUNCTION("""COMPUTED_VALUE"""),"AF")</f>
        <v>AF</v>
      </c>
      <c r="B57" s="195" t="str">
        <f ca="1">IFERROR(__xludf.DUMMYFUNCTION("""COMPUTED_VALUE"""),"Fiona Bergen")</f>
        <v>Fiona Bergen</v>
      </c>
      <c r="C57" s="189">
        <f ca="1">IFERROR(__xludf.DUMMYFUNCTION("""COMPUTED_VALUE"""),11)</f>
        <v>11</v>
      </c>
      <c r="D57" s="189" t="str">
        <f ca="1">IFERROR(__xludf.DUMMYFUNCTION("""COMPUTED_VALUE"""),"G")</f>
        <v>G</v>
      </c>
      <c r="E57" s="189" t="str">
        <f ca="1">IFERROR(__xludf.DUMMYFUNCTION("""COMPUTED_VALUE"""),"J")</f>
        <v>J</v>
      </c>
      <c r="F57" s="189" t="str">
        <f ca="1">IFERROR(__xludf.DUMMYFUNCTION("""COMPUTED_VALUE"""),"I")</f>
        <v>I</v>
      </c>
      <c r="G57" s="189">
        <f ca="1">IFERROR(__xludf.DUMMYFUNCTION("""COMPUTED_VALUE"""),7)</f>
        <v>7</v>
      </c>
      <c r="H57" s="196"/>
      <c r="I57" s="196"/>
      <c r="J57" s="196"/>
      <c r="K57" s="196"/>
      <c r="L57" s="196" t="str">
        <v/>
      </c>
      <c r="M57" s="196"/>
    </row>
    <row r="58" spans="1:13" ht="14.4" x14ac:dyDescent="0.3">
      <c r="A58" s="189" t="str">
        <f ca="1">IFERROR(__xludf.DUMMYFUNCTION("""COMPUTED_VALUE"""),"AF")</f>
        <v>AF</v>
      </c>
      <c r="B58" s="195" t="str">
        <f ca="1">IFERROR(__xludf.DUMMYFUNCTION("""COMPUTED_VALUE"""),"Helen Huggler")</f>
        <v>Helen Huggler</v>
      </c>
      <c r="C58" s="189">
        <f ca="1">IFERROR(__xludf.DUMMYFUNCTION("""COMPUTED_VALUE"""),11)</f>
        <v>11</v>
      </c>
      <c r="D58" s="189" t="str">
        <f ca="1">IFERROR(__xludf.DUMMYFUNCTION("""COMPUTED_VALUE"""),"G")</f>
        <v>G</v>
      </c>
      <c r="E58" s="189" t="str">
        <f ca="1">IFERROR(__xludf.DUMMYFUNCTION("""COMPUTED_VALUE"""),"J")</f>
        <v>J</v>
      </c>
      <c r="F58" s="189" t="str">
        <f ca="1">IFERROR(__xludf.DUMMYFUNCTION("""COMPUTED_VALUE"""),"I")</f>
        <v>I</v>
      </c>
      <c r="G58" s="189">
        <f ca="1">IFERROR(__xludf.DUMMYFUNCTION("""COMPUTED_VALUE"""),7)</f>
        <v>7</v>
      </c>
      <c r="H58" s="196" t="s">
        <v>62</v>
      </c>
      <c r="I58" s="196"/>
      <c r="J58" s="196" t="s">
        <v>29</v>
      </c>
      <c r="K58" s="196"/>
      <c r="L58" s="196" t="str">
        <v xml:space="preserve"> 68.40</v>
      </c>
      <c r="M58" s="196"/>
    </row>
    <row r="59" spans="1:13" ht="14.4" x14ac:dyDescent="0.3">
      <c r="A59" s="189" t="str">
        <f ca="1">IFERROR(__xludf.DUMMYFUNCTION("""COMPUTED_VALUE"""),"AF")</f>
        <v>AF</v>
      </c>
      <c r="B59" s="195" t="str">
        <f ca="1">IFERROR(__xludf.DUMMYFUNCTION("""COMPUTED_VALUE"""),"Lottie Robert")</f>
        <v>Lottie Robert</v>
      </c>
      <c r="C59" s="189">
        <f ca="1">IFERROR(__xludf.DUMMYFUNCTION("""COMPUTED_VALUE"""),12)</f>
        <v>12</v>
      </c>
      <c r="D59" s="189" t="str">
        <f ca="1">IFERROR(__xludf.DUMMYFUNCTION("""COMPUTED_VALUE"""),"G")</f>
        <v>G</v>
      </c>
      <c r="E59" s="189" t="str">
        <f ca="1">IFERROR(__xludf.DUMMYFUNCTION("""COMPUTED_VALUE"""),"J")</f>
        <v>J</v>
      </c>
      <c r="F59" s="189" t="str">
        <f ca="1">IFERROR(__xludf.DUMMYFUNCTION("""COMPUTED_VALUE"""),"I")</f>
        <v>I</v>
      </c>
      <c r="G59" s="189">
        <f ca="1">IFERROR(__xludf.DUMMYFUNCTION("""COMPUTED_VALUE"""),7)</f>
        <v>7</v>
      </c>
      <c r="H59" s="196" t="s">
        <v>63</v>
      </c>
      <c r="I59" s="196"/>
      <c r="J59" s="196" t="s">
        <v>64</v>
      </c>
      <c r="K59" s="196"/>
      <c r="L59" s="196" t="str">
        <v xml:space="preserve"> -85.75</v>
      </c>
      <c r="M59" s="196"/>
    </row>
    <row r="60" spans="1:13" ht="14.4" x14ac:dyDescent="0.3">
      <c r="A60" s="189" t="str">
        <f ca="1">IFERROR(__xludf.DUMMYFUNCTION("""COMPUTED_VALUE"""),"AF")</f>
        <v>AF</v>
      </c>
      <c r="B60" s="195" t="str">
        <f ca="1">IFERROR(__xludf.DUMMYFUNCTION("""COMPUTED_VALUE"""),"Savannah Lehman")</f>
        <v>Savannah Lehman</v>
      </c>
      <c r="C60" s="189">
        <f ca="1">IFERROR(__xludf.DUMMYFUNCTION("""COMPUTED_VALUE"""),11)</f>
        <v>11</v>
      </c>
      <c r="D60" s="189" t="str">
        <f ca="1">IFERROR(__xludf.DUMMYFUNCTION("""COMPUTED_VALUE"""),"G")</f>
        <v>G</v>
      </c>
      <c r="E60" s="189" t="str">
        <f ca="1">IFERROR(__xludf.DUMMYFUNCTION("""COMPUTED_VALUE"""),"J")</f>
        <v>J</v>
      </c>
      <c r="F60" s="189" t="str">
        <f ca="1">IFERROR(__xludf.DUMMYFUNCTION("""COMPUTED_VALUE"""),"I")</f>
        <v>I</v>
      </c>
      <c r="G60" s="189">
        <f ca="1">IFERROR(__xludf.DUMMYFUNCTION("""COMPUTED_VALUE"""),7)</f>
        <v>7</v>
      </c>
      <c r="H60" s="196"/>
      <c r="I60" s="196"/>
      <c r="J60" s="196"/>
      <c r="K60" s="196"/>
      <c r="L60" s="196" t="str">
        <v/>
      </c>
      <c r="M60" s="196"/>
    </row>
    <row r="61" spans="1:13" ht="14.4" x14ac:dyDescent="0.3">
      <c r="A61" s="189" t="str">
        <f ca="1">IFERROR(__xludf.DUMMYFUNCTION("""COMPUTED_VALUE"""),"AF")</f>
        <v>AF</v>
      </c>
      <c r="B61" s="195" t="str">
        <f ca="1">IFERROR(__xludf.DUMMYFUNCTION("""COMPUTED_VALUE"""),"Alexander Stewart")</f>
        <v>Alexander Stewart</v>
      </c>
      <c r="C61" s="189">
        <f ca="1">IFERROR(__xludf.DUMMYFUNCTION("""COMPUTED_VALUE"""),12)</f>
        <v>12</v>
      </c>
      <c r="D61" s="189" t="str">
        <f ca="1">IFERROR(__xludf.DUMMYFUNCTION("""COMPUTED_VALUE"""),"B")</f>
        <v>B</v>
      </c>
      <c r="E61" s="189" t="str">
        <f ca="1">IFERROR(__xludf.DUMMYFUNCTION("""COMPUTED_VALUE"""),"J")</f>
        <v>J</v>
      </c>
      <c r="F61" s="189" t="str">
        <f ca="1">IFERROR(__xludf.DUMMYFUNCTION("""COMPUTED_VALUE"""),"I")</f>
        <v>I</v>
      </c>
      <c r="G61" s="189">
        <f ca="1">IFERROR(__xludf.DUMMYFUNCTION("""COMPUTED_VALUE"""),7)</f>
        <v>7</v>
      </c>
      <c r="H61" s="196"/>
      <c r="I61" s="196"/>
      <c r="J61" s="196"/>
      <c r="K61" s="196"/>
      <c r="L61" s="196" t="str">
        <v/>
      </c>
      <c r="M61" s="196"/>
    </row>
    <row r="62" spans="1:13" ht="14.4" x14ac:dyDescent="0.3">
      <c r="A62" s="189" t="str">
        <f ca="1">IFERROR(__xludf.DUMMYFUNCTION("""COMPUTED_VALUE"""),"AF")</f>
        <v>AF</v>
      </c>
      <c r="B62" s="195" t="str">
        <f ca="1">IFERROR(__xludf.DUMMYFUNCTION("""COMPUTED_VALUE"""),"Jack Snow")</f>
        <v>Jack Snow</v>
      </c>
      <c r="C62" s="189">
        <f ca="1">IFERROR(__xludf.DUMMYFUNCTION("""COMPUTED_VALUE"""),11)</f>
        <v>11</v>
      </c>
      <c r="D62" s="189" t="str">
        <f ca="1">IFERROR(__xludf.DUMMYFUNCTION("""COMPUTED_VALUE"""),"B")</f>
        <v>B</v>
      </c>
      <c r="E62" s="189" t="str">
        <f ca="1">IFERROR(__xludf.DUMMYFUNCTION("""COMPUTED_VALUE"""),"J")</f>
        <v>J</v>
      </c>
      <c r="F62" s="189" t="str">
        <f ca="1">IFERROR(__xludf.DUMMYFUNCTION("""COMPUTED_VALUE"""),"I")</f>
        <v>I</v>
      </c>
      <c r="G62" s="189">
        <f ca="1">IFERROR(__xludf.DUMMYFUNCTION("""COMPUTED_VALUE"""),7)</f>
        <v>7</v>
      </c>
      <c r="H62" s="196" t="s">
        <v>65</v>
      </c>
      <c r="I62" s="196"/>
      <c r="J62" s="196" t="s">
        <v>29</v>
      </c>
      <c r="K62" s="196"/>
      <c r="L62" s="196" t="str">
        <v xml:space="preserve"> 61.45</v>
      </c>
      <c r="M62" s="196"/>
    </row>
    <row r="63" spans="1:13" ht="14.4" x14ac:dyDescent="0.3">
      <c r="A63" s="189" t="str">
        <f ca="1">IFERROR(__xludf.DUMMYFUNCTION("""COMPUTED_VALUE"""),"AF")</f>
        <v>AF</v>
      </c>
      <c r="B63" s="195" t="str">
        <f ca="1">IFERROR(__xludf.DUMMYFUNCTION("""COMPUTED_VALUE"""),"Konrad Epley")</f>
        <v>Konrad Epley</v>
      </c>
      <c r="C63" s="189">
        <f ca="1">IFERROR(__xludf.DUMMYFUNCTION("""COMPUTED_VALUE"""),11)</f>
        <v>11</v>
      </c>
      <c r="D63" s="189" t="str">
        <f ca="1">IFERROR(__xludf.DUMMYFUNCTION("""COMPUTED_VALUE"""),"B")</f>
        <v>B</v>
      </c>
      <c r="E63" s="189" t="str">
        <f ca="1">IFERROR(__xludf.DUMMYFUNCTION("""COMPUTED_VALUE"""),"J")</f>
        <v>J</v>
      </c>
      <c r="F63" s="189" t="str">
        <f ca="1">IFERROR(__xludf.DUMMYFUNCTION("""COMPUTED_VALUE"""),"I")</f>
        <v>I</v>
      </c>
      <c r="G63" s="189">
        <f ca="1">IFERROR(__xludf.DUMMYFUNCTION("""COMPUTED_VALUE"""),7)</f>
        <v>7</v>
      </c>
      <c r="H63" s="196"/>
      <c r="I63" s="196"/>
      <c r="J63" s="196"/>
      <c r="K63" s="196"/>
      <c r="L63" s="196" t="str">
        <v/>
      </c>
      <c r="M63" s="196"/>
    </row>
    <row r="64" spans="1:13" ht="14.4" x14ac:dyDescent="0.3">
      <c r="A64" s="189" t="str">
        <f ca="1">IFERROR(__xludf.DUMMYFUNCTION("""COMPUTED_VALUE"""),"AF")</f>
        <v>AF</v>
      </c>
      <c r="B64" s="195" t="str">
        <f ca="1">IFERROR(__xludf.DUMMYFUNCTION("""COMPUTED_VALUE"""),"Nathaniel Cassatt")</f>
        <v>Nathaniel Cassatt</v>
      </c>
      <c r="C64" s="189">
        <f ca="1">IFERROR(__xludf.DUMMYFUNCTION("""COMPUTED_VALUE"""),12)</f>
        <v>12</v>
      </c>
      <c r="D64" s="189" t="str">
        <f ca="1">IFERROR(__xludf.DUMMYFUNCTION("""COMPUTED_VALUE"""),"B")</f>
        <v>B</v>
      </c>
      <c r="E64" s="189" t="str">
        <f ca="1">IFERROR(__xludf.DUMMYFUNCTION("""COMPUTED_VALUE"""),"J")</f>
        <v>J</v>
      </c>
      <c r="F64" s="189" t="str">
        <f ca="1">IFERROR(__xludf.DUMMYFUNCTION("""COMPUTED_VALUE"""),"I")</f>
        <v>I</v>
      </c>
      <c r="G64" s="189">
        <f ca="1">IFERROR(__xludf.DUMMYFUNCTION("""COMPUTED_VALUE"""),7)</f>
        <v>7</v>
      </c>
      <c r="H64" s="196"/>
      <c r="I64" s="196"/>
      <c r="J64" s="196"/>
      <c r="K64" s="196"/>
      <c r="L64" s="196" t="str">
        <v/>
      </c>
      <c r="M64" s="196"/>
    </row>
    <row r="65" spans="1:13" ht="14.4" x14ac:dyDescent="0.3">
      <c r="A65" s="189" t="str">
        <f ca="1">IFERROR(__xludf.DUMMYFUNCTION("""COMPUTED_VALUE"""),"AF")</f>
        <v>AF</v>
      </c>
      <c r="B65" s="195" t="str">
        <f ca="1">IFERROR(__xludf.DUMMYFUNCTION("""COMPUTED_VALUE"""),"Nicholas Beier")</f>
        <v>Nicholas Beier</v>
      </c>
      <c r="C65" s="189">
        <f ca="1">IFERROR(__xludf.DUMMYFUNCTION("""COMPUTED_VALUE"""),12)</f>
        <v>12</v>
      </c>
      <c r="D65" s="189" t="str">
        <f ca="1">IFERROR(__xludf.DUMMYFUNCTION("""COMPUTED_VALUE"""),"B")</f>
        <v>B</v>
      </c>
      <c r="E65" s="189" t="str">
        <f ca="1">IFERROR(__xludf.DUMMYFUNCTION("""COMPUTED_VALUE"""),"J")</f>
        <v>J</v>
      </c>
      <c r="F65" s="189" t="str">
        <f ca="1">IFERROR(__xludf.DUMMYFUNCTION("""COMPUTED_VALUE"""),"I")</f>
        <v>I</v>
      </c>
      <c r="G65" s="189">
        <f ca="1">IFERROR(__xludf.DUMMYFUNCTION("""COMPUTED_VALUE"""),7)</f>
        <v>7</v>
      </c>
      <c r="H65" s="196" t="s">
        <v>66</v>
      </c>
      <c r="I65" s="196"/>
      <c r="J65" s="196" t="s">
        <v>29</v>
      </c>
      <c r="K65" s="196"/>
      <c r="L65" s="196" t="str">
        <v xml:space="preserve"> 76.15</v>
      </c>
      <c r="M65" s="196"/>
    </row>
    <row r="66" spans="1:13" ht="14.4" x14ac:dyDescent="0.3">
      <c r="A66" s="189" t="str">
        <f ca="1">IFERROR(__xludf.DUMMYFUNCTION("""COMPUTED_VALUE"""),"AF")</f>
        <v>AF</v>
      </c>
      <c r="B66" s="195" t="str">
        <f ca="1">IFERROR(__xludf.DUMMYFUNCTION("""COMPUTED_VALUE"""),"Nicholas Petruccelli")</f>
        <v>Nicholas Petruccelli</v>
      </c>
      <c r="C66" s="189">
        <f ca="1">IFERROR(__xludf.DUMMYFUNCTION("""COMPUTED_VALUE"""),11)</f>
        <v>11</v>
      </c>
      <c r="D66" s="189" t="str">
        <f ca="1">IFERROR(__xludf.DUMMYFUNCTION("""COMPUTED_VALUE"""),"B")</f>
        <v>B</v>
      </c>
      <c r="E66" s="189" t="str">
        <f ca="1">IFERROR(__xludf.DUMMYFUNCTION("""COMPUTED_VALUE"""),"J")</f>
        <v>J</v>
      </c>
      <c r="F66" s="189" t="str">
        <f ca="1">IFERROR(__xludf.DUMMYFUNCTION("""COMPUTED_VALUE"""),"I")</f>
        <v>I</v>
      </c>
      <c r="G66" s="189">
        <f ca="1">IFERROR(__xludf.DUMMYFUNCTION("""COMPUTED_VALUE"""),7)</f>
        <v>7</v>
      </c>
      <c r="H66" s="196" t="s">
        <v>67</v>
      </c>
      <c r="I66" s="196"/>
      <c r="J66" s="196" t="s">
        <v>29</v>
      </c>
      <c r="K66" s="196"/>
      <c r="L66" s="196" t="str">
        <v xml:space="preserve"> 78.90</v>
      </c>
      <c r="M66" s="196"/>
    </row>
    <row r="67" spans="1:13" ht="14.4" x14ac:dyDescent="0.3">
      <c r="A67" s="189" t="str">
        <f ca="1">IFERROR(__xludf.DUMMYFUNCTION("""COMPUTED_VALUE"""),"AF")</f>
        <v>AF</v>
      </c>
      <c r="B67" s="195" t="str">
        <f ca="1">IFERROR(__xludf.DUMMYFUNCTION("""COMPUTED_VALUE"""),"Ryan Foshay")</f>
        <v>Ryan Foshay</v>
      </c>
      <c r="C67" s="189">
        <f ca="1">IFERROR(__xludf.DUMMYFUNCTION("""COMPUTED_VALUE"""),11)</f>
        <v>11</v>
      </c>
      <c r="D67" s="189" t="str">
        <f ca="1">IFERROR(__xludf.DUMMYFUNCTION("""COMPUTED_VALUE"""),"B")</f>
        <v>B</v>
      </c>
      <c r="E67" s="189" t="str">
        <f ca="1">IFERROR(__xludf.DUMMYFUNCTION("""COMPUTED_VALUE"""),"J")</f>
        <v>J</v>
      </c>
      <c r="F67" s="189" t="str">
        <f ca="1">IFERROR(__xludf.DUMMYFUNCTION("""COMPUTED_VALUE"""),"I")</f>
        <v>I</v>
      </c>
      <c r="G67" s="189">
        <f ca="1">IFERROR(__xludf.DUMMYFUNCTION("""COMPUTED_VALUE"""),7)</f>
        <v>7</v>
      </c>
      <c r="H67" s="196" t="s">
        <v>48</v>
      </c>
      <c r="I67" s="196"/>
      <c r="J67" s="196" t="s">
        <v>29</v>
      </c>
      <c r="K67" s="196"/>
      <c r="L67" s="196" t="str">
        <v xml:space="preserve"> 46.90</v>
      </c>
      <c r="M67" s="196"/>
    </row>
    <row r="68" spans="1:13" ht="14.4" x14ac:dyDescent="0.3">
      <c r="A68" s="189" t="str">
        <f ca="1">IFERROR(__xludf.DUMMYFUNCTION("""COMPUTED_VALUE"""),"AF")</f>
        <v>AF</v>
      </c>
      <c r="B68" s="195" t="str">
        <f ca="1">IFERROR(__xludf.DUMMYFUNCTION("""COMPUTED_VALUE"""),"Tanner Green")</f>
        <v>Tanner Green</v>
      </c>
      <c r="C68" s="189">
        <f ca="1">IFERROR(__xludf.DUMMYFUNCTION("""COMPUTED_VALUE"""),12)</f>
        <v>12</v>
      </c>
      <c r="D68" s="189" t="str">
        <f ca="1">IFERROR(__xludf.DUMMYFUNCTION("""COMPUTED_VALUE"""),"B")</f>
        <v>B</v>
      </c>
      <c r="E68" s="189" t="str">
        <f ca="1">IFERROR(__xludf.DUMMYFUNCTION("""COMPUTED_VALUE"""),"J")</f>
        <v>J</v>
      </c>
      <c r="F68" s="189" t="str">
        <f ca="1">IFERROR(__xludf.DUMMYFUNCTION("""COMPUTED_VALUE"""),"I")</f>
        <v>I</v>
      </c>
      <c r="G68" s="189">
        <f ca="1">IFERROR(__xludf.DUMMYFUNCTION("""COMPUTED_VALUE"""),7)</f>
        <v>7</v>
      </c>
      <c r="H68" s="196" t="s">
        <v>68</v>
      </c>
      <c r="I68" s="196"/>
      <c r="J68" s="196" t="s">
        <v>29</v>
      </c>
      <c r="K68" s="196"/>
      <c r="L68" s="196" t="str">
        <v xml:space="preserve"> 97.95</v>
      </c>
      <c r="M68" s="196"/>
    </row>
    <row r="69" spans="1:13" ht="14.4" x14ac:dyDescent="0.3">
      <c r="A69" s="189" t="str">
        <f ca="1">IFERROR(__xludf.DUMMYFUNCTION("""COMPUTED_VALUE"""),"AF")</f>
        <v>AF</v>
      </c>
      <c r="B69" s="195" t="str">
        <f ca="1">IFERROR(__xludf.DUMMYFUNCTION("""COMPUTED_VALUE"""),"William Kunkle")</f>
        <v>William Kunkle</v>
      </c>
      <c r="C69" s="189">
        <f ca="1">IFERROR(__xludf.DUMMYFUNCTION("""COMPUTED_VALUE"""),11)</f>
        <v>11</v>
      </c>
      <c r="D69" s="189" t="str">
        <f ca="1">IFERROR(__xludf.DUMMYFUNCTION("""COMPUTED_VALUE"""),"B")</f>
        <v>B</v>
      </c>
      <c r="E69" s="189" t="str">
        <f ca="1">IFERROR(__xludf.DUMMYFUNCTION("""COMPUTED_VALUE"""),"J")</f>
        <v>J</v>
      </c>
      <c r="F69" s="189" t="str">
        <f ca="1">IFERROR(__xludf.DUMMYFUNCTION("""COMPUTED_VALUE"""),"I")</f>
        <v>I</v>
      </c>
      <c r="G69" s="189">
        <f ca="1">IFERROR(__xludf.DUMMYFUNCTION("""COMPUTED_VALUE"""),7)</f>
        <v>7</v>
      </c>
      <c r="H69" s="196"/>
      <c r="I69" s="196"/>
      <c r="J69" s="196"/>
      <c r="K69" s="196"/>
      <c r="L69" s="196" t="str">
        <v/>
      </c>
      <c r="M69" s="196"/>
    </row>
    <row r="70" spans="1:13" ht="14.4" x14ac:dyDescent="0.3">
      <c r="A70" s="189" t="str">
        <f ca="1">IFERROR(__xludf.DUMMYFUNCTION("""COMPUTED_VALUE"""),"AF")</f>
        <v>AF</v>
      </c>
      <c r="B70" s="195" t="str">
        <f ca="1">IFERROR(__xludf.DUMMYFUNCTION("""COMPUTED_VALUE"""),"Ada Jordan")</f>
        <v>Ada Jordan</v>
      </c>
      <c r="C70" s="189">
        <f ca="1">IFERROR(__xludf.DUMMYFUNCTION("""COMPUTED_VALUE"""),16)</f>
        <v>16</v>
      </c>
      <c r="D70" s="189" t="str">
        <f ca="1">IFERROR(__xludf.DUMMYFUNCTION("""COMPUTED_VALUE"""),"G")</f>
        <v>G</v>
      </c>
      <c r="E70" s="189" t="str">
        <f ca="1">IFERROR(__xludf.DUMMYFUNCTION("""COMPUTED_VALUE"""),"S")</f>
        <v>S</v>
      </c>
      <c r="F70" s="189" t="str">
        <f ca="1">IFERROR(__xludf.DUMMYFUNCTION("""COMPUTED_VALUE"""),"S")</f>
        <v>S</v>
      </c>
      <c r="G70" s="189">
        <f ca="1">IFERROR(__xludf.DUMMYFUNCTION("""COMPUTED_VALUE"""),7)</f>
        <v>7</v>
      </c>
      <c r="H70" s="196" t="s">
        <v>69</v>
      </c>
      <c r="I70" s="196"/>
      <c r="J70" s="196" t="s">
        <v>29</v>
      </c>
      <c r="K70" s="196"/>
      <c r="L70" s="196" t="str">
        <v xml:space="preserve"> 121.75</v>
      </c>
      <c r="M70" s="196"/>
    </row>
    <row r="71" spans="1:13" ht="14.4" x14ac:dyDescent="0.3">
      <c r="A71" s="189" t="str">
        <f ca="1">IFERROR(__xludf.DUMMYFUNCTION("""COMPUTED_VALUE"""),"AF")</f>
        <v>AF</v>
      </c>
      <c r="B71" s="195" t="str">
        <f ca="1">IFERROR(__xludf.DUMMYFUNCTION("""COMPUTED_VALUE"""),"Julia Green")</f>
        <v>Julia Green</v>
      </c>
      <c r="C71" s="189">
        <f ca="1">IFERROR(__xludf.DUMMYFUNCTION("""COMPUTED_VALUE"""),15)</f>
        <v>15</v>
      </c>
      <c r="D71" s="189" t="str">
        <f ca="1">IFERROR(__xludf.DUMMYFUNCTION("""COMPUTED_VALUE"""),"G")</f>
        <v>G</v>
      </c>
      <c r="E71" s="189" t="str">
        <f ca="1">IFERROR(__xludf.DUMMYFUNCTION("""COMPUTED_VALUE"""),"S")</f>
        <v>S</v>
      </c>
      <c r="F71" s="189" t="str">
        <f ca="1">IFERROR(__xludf.DUMMYFUNCTION("""COMPUTED_VALUE"""),"S")</f>
        <v>S</v>
      </c>
      <c r="G71" s="189">
        <f ca="1">IFERROR(__xludf.DUMMYFUNCTION("""COMPUTED_VALUE"""),7)</f>
        <v>7</v>
      </c>
      <c r="H71" s="196" t="s">
        <v>70</v>
      </c>
      <c r="I71" s="196"/>
      <c r="J71" s="196" t="s">
        <v>29</v>
      </c>
      <c r="K71" s="196"/>
      <c r="L71" s="196" t="str">
        <v xml:space="preserve"> 157.50</v>
      </c>
      <c r="M71" s="196"/>
    </row>
    <row r="72" spans="1:13" ht="14.4" x14ac:dyDescent="0.3">
      <c r="A72" s="189" t="str">
        <f ca="1">IFERROR(__xludf.DUMMYFUNCTION("""COMPUTED_VALUE"""),"AF")</f>
        <v>AF</v>
      </c>
      <c r="B72" s="195" t="str">
        <f ca="1">IFERROR(__xludf.DUMMYFUNCTION("""COMPUTED_VALUE"""),"Connor Hogan")</f>
        <v>Connor Hogan</v>
      </c>
      <c r="C72" s="189">
        <f ca="1">IFERROR(__xludf.DUMMYFUNCTION("""COMPUTED_VALUE"""),15)</f>
        <v>15</v>
      </c>
      <c r="D72" s="189" t="str">
        <f ca="1">IFERROR(__xludf.DUMMYFUNCTION("""COMPUTED_VALUE"""),"B")</f>
        <v>B</v>
      </c>
      <c r="E72" s="189" t="str">
        <f ca="1">IFERROR(__xludf.DUMMYFUNCTION("""COMPUTED_VALUE"""),"S")</f>
        <v>S</v>
      </c>
      <c r="F72" s="189" t="str">
        <f ca="1">IFERROR(__xludf.DUMMYFUNCTION("""COMPUTED_VALUE"""),"S")</f>
        <v>S</v>
      </c>
      <c r="G72" s="189">
        <f ca="1">IFERROR(__xludf.DUMMYFUNCTION("""COMPUTED_VALUE"""),7)</f>
        <v>7</v>
      </c>
      <c r="H72" s="196" t="s">
        <v>71</v>
      </c>
      <c r="I72" s="196"/>
      <c r="J72" s="196" t="s">
        <v>29</v>
      </c>
      <c r="K72" s="196"/>
      <c r="L72" s="196" t="str">
        <v xml:space="preserve"> 131.70</v>
      </c>
      <c r="M72" s="196"/>
    </row>
    <row r="73" spans="1:13" ht="14.4" x14ac:dyDescent="0.3">
      <c r="A73" s="189" t="str">
        <f ca="1">IFERROR(__xludf.DUMMYFUNCTION("""COMPUTED_VALUE"""),"AF")</f>
        <v>AF</v>
      </c>
      <c r="B73" s="195" t="str">
        <f ca="1">IFERROR(__xludf.DUMMYFUNCTION("""COMPUTED_VALUE"""),"David Alves")</f>
        <v>David Alves</v>
      </c>
      <c r="C73" s="189">
        <f ca="1">IFERROR(__xludf.DUMMYFUNCTION("""COMPUTED_VALUE"""),18)</f>
        <v>18</v>
      </c>
      <c r="D73" s="189" t="str">
        <f ca="1">IFERROR(__xludf.DUMMYFUNCTION("""COMPUTED_VALUE"""),"B")</f>
        <v>B</v>
      </c>
      <c r="E73" s="189" t="str">
        <f ca="1">IFERROR(__xludf.DUMMYFUNCTION("""COMPUTED_VALUE"""),"S")</f>
        <v>S</v>
      </c>
      <c r="F73" s="189" t="str">
        <f ca="1">IFERROR(__xludf.DUMMYFUNCTION("""COMPUTED_VALUE"""),"S")</f>
        <v>S</v>
      </c>
      <c r="G73" s="189">
        <f ca="1">IFERROR(__xludf.DUMMYFUNCTION("""COMPUTED_VALUE"""),7)</f>
        <v>7</v>
      </c>
      <c r="H73" s="196" t="s">
        <v>72</v>
      </c>
      <c r="I73" s="196"/>
      <c r="J73" s="196" t="s">
        <v>29</v>
      </c>
      <c r="K73" s="196"/>
      <c r="L73" s="196" t="str">
        <v xml:space="preserve"> 111.60</v>
      </c>
      <c r="M73" s="196"/>
    </row>
    <row r="74" spans="1:13" ht="14.4" x14ac:dyDescent="0.3">
      <c r="A74" s="189" t="str">
        <f ca="1">IFERROR(__xludf.DUMMYFUNCTION("""COMPUTED_VALUE"""),"AF")</f>
        <v>AF</v>
      </c>
      <c r="B74" s="195" t="str">
        <f ca="1">IFERROR(__xludf.DUMMYFUNCTION("""COMPUTED_VALUE"""),"Max Cassatt")</f>
        <v>Max Cassatt</v>
      </c>
      <c r="C74" s="189">
        <f ca="1">IFERROR(__xludf.DUMMYFUNCTION("""COMPUTED_VALUE"""),18)</f>
        <v>18</v>
      </c>
      <c r="D74" s="189" t="str">
        <f ca="1">IFERROR(__xludf.DUMMYFUNCTION("""COMPUTED_VALUE"""),"B")</f>
        <v>B</v>
      </c>
      <c r="E74" s="189" t="str">
        <f ca="1">IFERROR(__xludf.DUMMYFUNCTION("""COMPUTED_VALUE"""),"S")</f>
        <v>S</v>
      </c>
      <c r="F74" s="189" t="str">
        <f ca="1">IFERROR(__xludf.DUMMYFUNCTION("""COMPUTED_VALUE"""),"S")</f>
        <v>S</v>
      </c>
      <c r="G74" s="189">
        <f ca="1">IFERROR(__xludf.DUMMYFUNCTION("""COMPUTED_VALUE"""),7)</f>
        <v>7</v>
      </c>
      <c r="H74" s="196"/>
      <c r="I74" s="196"/>
      <c r="J74" s="196"/>
      <c r="K74" s="196"/>
      <c r="L74" s="196" t="str">
        <v/>
      </c>
      <c r="M74" s="196"/>
    </row>
    <row r="75" spans="1:13" ht="14.4" x14ac:dyDescent="0.3">
      <c r="A75" s="189" t="str">
        <f ca="1">IFERROR(__xludf.DUMMYFUNCTION("""COMPUTED_VALUE"""),"CB")</f>
        <v>CB</v>
      </c>
      <c r="B75" s="195" t="str">
        <f ca="1">IFERROR(__xludf.DUMMYFUNCTION("""COMPUTED_VALUE"""),"Audrey Magolies")</f>
        <v>Audrey Magolies</v>
      </c>
      <c r="C75" s="189">
        <f ca="1">IFERROR(__xludf.DUMMYFUNCTION("""COMPUTED_VALUE"""),8)</f>
        <v>8</v>
      </c>
      <c r="D75" s="189" t="str">
        <f ca="1">IFERROR(__xludf.DUMMYFUNCTION("""COMPUTED_VALUE"""),"G")</f>
        <v>G</v>
      </c>
      <c r="E75" s="189" t="str">
        <f ca="1">IFERROR(__xludf.DUMMYFUNCTION("""COMPUTED_VALUE"""),"F")</f>
        <v>F</v>
      </c>
      <c r="F75" s="189" t="str">
        <f ca="1">IFERROR(__xludf.DUMMYFUNCTION("""COMPUTED_VALUE"""),"J")</f>
        <v>J</v>
      </c>
      <c r="G75" s="189">
        <f ca="1">IFERROR(__xludf.DUMMYFUNCTION("""COMPUTED_VALUE"""),4)</f>
        <v>4</v>
      </c>
      <c r="H75" s="196"/>
      <c r="I75" s="196"/>
      <c r="J75" s="196"/>
      <c r="K75" s="196"/>
      <c r="L75" s="196" t="str">
        <v/>
      </c>
      <c r="M75" s="196"/>
    </row>
    <row r="76" spans="1:13" ht="14.4" x14ac:dyDescent="0.3">
      <c r="A76" s="189" t="str">
        <f ca="1">IFERROR(__xludf.DUMMYFUNCTION("""COMPUTED_VALUE"""),"CB")</f>
        <v>CB</v>
      </c>
      <c r="B76" s="195" t="str">
        <f ca="1">IFERROR(__xludf.DUMMYFUNCTION("""COMPUTED_VALUE"""),"Bri Whitney")</f>
        <v>Bri Whitney</v>
      </c>
      <c r="C76" s="189">
        <f ca="1">IFERROR(__xludf.DUMMYFUNCTION("""COMPUTED_VALUE"""),10)</f>
        <v>10</v>
      </c>
      <c r="D76" s="189" t="str">
        <f ca="1">IFERROR(__xludf.DUMMYFUNCTION("""COMPUTED_VALUE"""),"G")</f>
        <v>G</v>
      </c>
      <c r="E76" s="189" t="str">
        <f ca="1">IFERROR(__xludf.DUMMYFUNCTION("""COMPUTED_VALUE"""),"F")</f>
        <v>F</v>
      </c>
      <c r="F76" s="189" t="str">
        <f ca="1">IFERROR(__xludf.DUMMYFUNCTION("""COMPUTED_VALUE"""),"J")</f>
        <v>J</v>
      </c>
      <c r="G76" s="189">
        <f ca="1">IFERROR(__xludf.DUMMYFUNCTION("""COMPUTED_VALUE"""),4)</f>
        <v>4</v>
      </c>
      <c r="H76" s="196"/>
      <c r="I76" s="196"/>
      <c r="J76" s="196"/>
      <c r="K76" s="196"/>
      <c r="L76" s="196" t="str">
        <v/>
      </c>
      <c r="M76" s="196"/>
    </row>
    <row r="77" spans="1:13" ht="14.4" x14ac:dyDescent="0.3">
      <c r="A77" s="189" t="str">
        <f ca="1">IFERROR(__xludf.DUMMYFUNCTION("""COMPUTED_VALUE"""),"CB")</f>
        <v>CB</v>
      </c>
      <c r="B77" s="195" t="str">
        <f ca="1">IFERROR(__xludf.DUMMYFUNCTION("""COMPUTED_VALUE"""),"Claire Scarlett")</f>
        <v>Claire Scarlett</v>
      </c>
      <c r="C77" s="189">
        <f ca="1">IFERROR(__xludf.DUMMYFUNCTION("""COMPUTED_VALUE"""),6)</f>
        <v>6</v>
      </c>
      <c r="D77" s="189" t="str">
        <f ca="1">IFERROR(__xludf.DUMMYFUNCTION("""COMPUTED_VALUE"""),"G")</f>
        <v>G</v>
      </c>
      <c r="E77" s="189" t="str">
        <f ca="1">IFERROR(__xludf.DUMMYFUNCTION("""COMPUTED_VALUE"""),"F")</f>
        <v>F</v>
      </c>
      <c r="F77" s="189" t="str">
        <f ca="1">IFERROR(__xludf.DUMMYFUNCTION("""COMPUTED_VALUE"""),"J")</f>
        <v>J</v>
      </c>
      <c r="G77" s="189">
        <f ca="1">IFERROR(__xludf.DUMMYFUNCTION("""COMPUTED_VALUE"""),4)</f>
        <v>4</v>
      </c>
      <c r="H77" s="196" t="s">
        <v>73</v>
      </c>
      <c r="I77" s="196"/>
      <c r="J77" s="196" t="s">
        <v>29</v>
      </c>
      <c r="K77" s="196"/>
      <c r="L77" s="196" t="str">
        <v xml:space="preserve"> 20.85</v>
      </c>
      <c r="M77" s="196"/>
    </row>
    <row r="78" spans="1:13" ht="14.4" x14ac:dyDescent="0.3">
      <c r="A78" s="189" t="str">
        <f ca="1">IFERROR(__xludf.DUMMYFUNCTION("""COMPUTED_VALUE"""),"CB")</f>
        <v>CB</v>
      </c>
      <c r="B78" s="195" t="str">
        <f ca="1">IFERROR(__xludf.DUMMYFUNCTION("""COMPUTED_VALUE"""),"Grace Luk")</f>
        <v>Grace Luk</v>
      </c>
      <c r="C78" s="189">
        <f ca="1">IFERROR(__xludf.DUMMYFUNCTION("""COMPUTED_VALUE"""),10)</f>
        <v>10</v>
      </c>
      <c r="D78" s="189" t="str">
        <f ca="1">IFERROR(__xludf.DUMMYFUNCTION("""COMPUTED_VALUE"""),"G")</f>
        <v>G</v>
      </c>
      <c r="E78" s="189" t="str">
        <f ca="1">IFERROR(__xludf.DUMMYFUNCTION("""COMPUTED_VALUE"""),"F")</f>
        <v>F</v>
      </c>
      <c r="F78" s="189" t="str">
        <f ca="1">IFERROR(__xludf.DUMMYFUNCTION("""COMPUTED_VALUE"""),"J")</f>
        <v>J</v>
      </c>
      <c r="G78" s="189">
        <f ca="1">IFERROR(__xludf.DUMMYFUNCTION("""COMPUTED_VALUE"""),4)</f>
        <v>4</v>
      </c>
      <c r="H78" s="196"/>
      <c r="I78" s="196"/>
      <c r="J78" s="196"/>
      <c r="K78" s="196"/>
      <c r="L78" s="196" t="str">
        <v/>
      </c>
      <c r="M78" s="196"/>
    </row>
    <row r="79" spans="1:13" ht="14.4" x14ac:dyDescent="0.3">
      <c r="A79" s="189" t="str">
        <f ca="1">IFERROR(__xludf.DUMMYFUNCTION("""COMPUTED_VALUE"""),"CB")</f>
        <v>CB</v>
      </c>
      <c r="B79" s="195" t="str">
        <f ca="1">IFERROR(__xludf.DUMMYFUNCTION("""COMPUTED_VALUE"""),"Harper Easley")</f>
        <v>Harper Easley</v>
      </c>
      <c r="C79" s="189">
        <f ca="1">IFERROR(__xludf.DUMMYFUNCTION("""COMPUTED_VALUE"""),10)</f>
        <v>10</v>
      </c>
      <c r="D79" s="189" t="str">
        <f ca="1">IFERROR(__xludf.DUMMYFUNCTION("""COMPUTED_VALUE"""),"G")</f>
        <v>G</v>
      </c>
      <c r="E79" s="189" t="str">
        <f ca="1">IFERROR(__xludf.DUMMYFUNCTION("""COMPUTED_VALUE"""),"F")</f>
        <v>F</v>
      </c>
      <c r="F79" s="189" t="str">
        <f ca="1">IFERROR(__xludf.DUMMYFUNCTION("""COMPUTED_VALUE"""),"J")</f>
        <v>J</v>
      </c>
      <c r="G79" s="189">
        <f ca="1">IFERROR(__xludf.DUMMYFUNCTION("""COMPUTED_VALUE"""),4)</f>
        <v>4</v>
      </c>
      <c r="H79" s="196" t="s">
        <v>74</v>
      </c>
      <c r="I79" s="196"/>
      <c r="J79" s="196" t="s">
        <v>29</v>
      </c>
      <c r="K79" s="196"/>
      <c r="L79" s="196" t="str">
        <v xml:space="preserve"> 51.20</v>
      </c>
      <c r="M79" s="196"/>
    </row>
    <row r="80" spans="1:13" ht="14.4" x14ac:dyDescent="0.3">
      <c r="A80" s="189" t="str">
        <f ca="1">IFERROR(__xludf.DUMMYFUNCTION("""COMPUTED_VALUE"""),"CB")</f>
        <v>CB</v>
      </c>
      <c r="B80" s="195" t="str">
        <f ca="1">IFERROR(__xludf.DUMMYFUNCTION("""COMPUTED_VALUE"""),"Katherine Lazarus")</f>
        <v>Katherine Lazarus</v>
      </c>
      <c r="C80" s="189">
        <f ca="1">IFERROR(__xludf.DUMMYFUNCTION("""COMPUTED_VALUE"""),9)</f>
        <v>9</v>
      </c>
      <c r="D80" s="189" t="str">
        <f ca="1">IFERROR(__xludf.DUMMYFUNCTION("""COMPUTED_VALUE"""),"G")</f>
        <v>G</v>
      </c>
      <c r="E80" s="189" t="str">
        <f ca="1">IFERROR(__xludf.DUMMYFUNCTION("""COMPUTED_VALUE"""),"F")</f>
        <v>F</v>
      </c>
      <c r="F80" s="189" t="str">
        <f ca="1">IFERROR(__xludf.DUMMYFUNCTION("""COMPUTED_VALUE"""),"J")</f>
        <v>J</v>
      </c>
      <c r="G80" s="189">
        <f ca="1">IFERROR(__xludf.DUMMYFUNCTION("""COMPUTED_VALUE"""),4)</f>
        <v>4</v>
      </c>
      <c r="H80" s="196" t="s">
        <v>75</v>
      </c>
      <c r="I80" s="196"/>
      <c r="J80" s="196" t="s">
        <v>29</v>
      </c>
      <c r="K80" s="196"/>
      <c r="L80" s="196" t="str">
        <v xml:space="preserve"> 55.85</v>
      </c>
      <c r="M80" s="196"/>
    </row>
    <row r="81" spans="1:13" ht="14.4" x14ac:dyDescent="0.3">
      <c r="A81" s="189" t="str">
        <f ca="1">IFERROR(__xludf.DUMMYFUNCTION("""COMPUTED_VALUE"""),"CB")</f>
        <v>CB</v>
      </c>
      <c r="B81" s="195" t="str">
        <f ca="1">IFERROR(__xludf.DUMMYFUNCTION("""COMPUTED_VALUE"""),"Makenzie Case")</f>
        <v>Makenzie Case</v>
      </c>
      <c r="C81" s="189">
        <f ca="1">IFERROR(__xludf.DUMMYFUNCTION("""COMPUTED_VALUE"""),8)</f>
        <v>8</v>
      </c>
      <c r="D81" s="189" t="str">
        <f ca="1">IFERROR(__xludf.DUMMYFUNCTION("""COMPUTED_VALUE"""),"G")</f>
        <v>G</v>
      </c>
      <c r="E81" s="189" t="str">
        <f ca="1">IFERROR(__xludf.DUMMYFUNCTION("""COMPUTED_VALUE"""),"F")</f>
        <v>F</v>
      </c>
      <c r="F81" s="189" t="str">
        <f ca="1">IFERROR(__xludf.DUMMYFUNCTION("""COMPUTED_VALUE"""),"J")</f>
        <v>J</v>
      </c>
      <c r="G81" s="189">
        <f ca="1">IFERROR(__xludf.DUMMYFUNCTION("""COMPUTED_VALUE"""),4)</f>
        <v>4</v>
      </c>
      <c r="H81" s="196" t="s">
        <v>76</v>
      </c>
      <c r="I81" s="196"/>
      <c r="J81" s="196" t="s">
        <v>29</v>
      </c>
      <c r="K81" s="196"/>
      <c r="L81" s="196" t="str">
        <v xml:space="preserve"> 50.95</v>
      </c>
      <c r="M81" s="196"/>
    </row>
    <row r="82" spans="1:13" ht="14.4" x14ac:dyDescent="0.3">
      <c r="A82" s="189" t="str">
        <f ca="1">IFERROR(__xludf.DUMMYFUNCTION("""COMPUTED_VALUE"""),"CB")</f>
        <v>CB</v>
      </c>
      <c r="B82" s="195" t="str">
        <f ca="1">IFERROR(__xludf.DUMMYFUNCTION("""COMPUTED_VALUE"""),"Melody MacGarvey")</f>
        <v>Melody MacGarvey</v>
      </c>
      <c r="C82" s="189">
        <f ca="1">IFERROR(__xludf.DUMMYFUNCTION("""COMPUTED_VALUE"""),7)</f>
        <v>7</v>
      </c>
      <c r="D82" s="189" t="str">
        <f ca="1">IFERROR(__xludf.DUMMYFUNCTION("""COMPUTED_VALUE"""),"G")</f>
        <v>G</v>
      </c>
      <c r="E82" s="189" t="str">
        <f ca="1">IFERROR(__xludf.DUMMYFUNCTION("""COMPUTED_VALUE"""),"F")</f>
        <v>F</v>
      </c>
      <c r="F82" s="189" t="str">
        <f ca="1">IFERROR(__xludf.DUMMYFUNCTION("""COMPUTED_VALUE"""),"J")</f>
        <v>J</v>
      </c>
      <c r="G82" s="189">
        <f ca="1">IFERROR(__xludf.DUMMYFUNCTION("""COMPUTED_VALUE"""),4)</f>
        <v>4</v>
      </c>
      <c r="H82" s="196"/>
      <c r="I82" s="196"/>
      <c r="J82" s="196"/>
      <c r="K82" s="196"/>
      <c r="L82" s="196" t="str">
        <v/>
      </c>
      <c r="M82" s="196"/>
    </row>
    <row r="83" spans="1:13" ht="14.4" x14ac:dyDescent="0.3">
      <c r="A83" s="189" t="str">
        <f ca="1">IFERROR(__xludf.DUMMYFUNCTION("""COMPUTED_VALUE"""),"CB")</f>
        <v>CB</v>
      </c>
      <c r="B83" s="195" t="str">
        <f ca="1">IFERROR(__xludf.DUMMYFUNCTION("""COMPUTED_VALUE"""),"Parker Georgas")</f>
        <v>Parker Georgas</v>
      </c>
      <c r="C83" s="189">
        <f ca="1">IFERROR(__xludf.DUMMYFUNCTION("""COMPUTED_VALUE"""),7)</f>
        <v>7</v>
      </c>
      <c r="D83" s="189" t="str">
        <f ca="1">IFERROR(__xludf.DUMMYFUNCTION("""COMPUTED_VALUE"""),"G")</f>
        <v>G</v>
      </c>
      <c r="E83" s="189" t="str">
        <f ca="1">IFERROR(__xludf.DUMMYFUNCTION("""COMPUTED_VALUE"""),"F")</f>
        <v>F</v>
      </c>
      <c r="F83" s="189" t="str">
        <f ca="1">IFERROR(__xludf.DUMMYFUNCTION("""COMPUTED_VALUE"""),"J")</f>
        <v>J</v>
      </c>
      <c r="G83" s="189">
        <f ca="1">IFERROR(__xludf.DUMMYFUNCTION("""COMPUTED_VALUE"""),4)</f>
        <v>4</v>
      </c>
      <c r="H83" s="196"/>
      <c r="I83" s="196"/>
      <c r="J83" s="196"/>
      <c r="K83" s="196"/>
      <c r="L83" s="196" t="str">
        <v/>
      </c>
      <c r="M83" s="196"/>
    </row>
    <row r="84" spans="1:13" ht="14.4" x14ac:dyDescent="0.3">
      <c r="A84" s="189" t="str">
        <f ca="1">IFERROR(__xludf.DUMMYFUNCTION("""COMPUTED_VALUE"""),"CB")</f>
        <v>CB</v>
      </c>
      <c r="B84" s="195" t="str">
        <f ca="1">IFERROR(__xludf.DUMMYFUNCTION("""COMPUTED_VALUE"""),"Ryan King")</f>
        <v>Ryan King</v>
      </c>
      <c r="C84" s="189">
        <f ca="1">IFERROR(__xludf.DUMMYFUNCTION("""COMPUTED_VALUE"""),6)</f>
        <v>6</v>
      </c>
      <c r="D84" s="189" t="str">
        <f ca="1">IFERROR(__xludf.DUMMYFUNCTION("""COMPUTED_VALUE"""),"G")</f>
        <v>G</v>
      </c>
      <c r="E84" s="189" t="str">
        <f ca="1">IFERROR(__xludf.DUMMYFUNCTION("""COMPUTED_VALUE"""),"F")</f>
        <v>F</v>
      </c>
      <c r="F84" s="189" t="str">
        <f ca="1">IFERROR(__xludf.DUMMYFUNCTION("""COMPUTED_VALUE"""),"J")</f>
        <v>J</v>
      </c>
      <c r="G84" s="189">
        <f ca="1">IFERROR(__xludf.DUMMYFUNCTION("""COMPUTED_VALUE"""),4)</f>
        <v>4</v>
      </c>
      <c r="H84" s="196"/>
      <c r="I84" s="196"/>
      <c r="J84" s="196"/>
      <c r="K84" s="196"/>
      <c r="L84" s="196" t="str">
        <v/>
      </c>
      <c r="M84" s="196"/>
    </row>
    <row r="85" spans="1:13" ht="14.4" x14ac:dyDescent="0.3">
      <c r="A85" s="189" t="str">
        <f ca="1">IFERROR(__xludf.DUMMYFUNCTION("""COMPUTED_VALUE"""),"CB")</f>
        <v>CB</v>
      </c>
      <c r="B85" s="195" t="str">
        <f ca="1">IFERROR(__xludf.DUMMYFUNCTION("""COMPUTED_VALUE"""),"Sofia Grantz")</f>
        <v>Sofia Grantz</v>
      </c>
      <c r="C85" s="189">
        <f ca="1">IFERROR(__xludf.DUMMYFUNCTION("""COMPUTED_VALUE"""),8)</f>
        <v>8</v>
      </c>
      <c r="D85" s="189" t="str">
        <f ca="1">IFERROR(__xludf.DUMMYFUNCTION("""COMPUTED_VALUE"""),"G")</f>
        <v>G</v>
      </c>
      <c r="E85" s="189" t="str">
        <f ca="1">IFERROR(__xludf.DUMMYFUNCTION("""COMPUTED_VALUE"""),"F")</f>
        <v>F</v>
      </c>
      <c r="F85" s="189" t="str">
        <f ca="1">IFERROR(__xludf.DUMMYFUNCTION("""COMPUTED_VALUE"""),"J")</f>
        <v>J</v>
      </c>
      <c r="G85" s="189">
        <f ca="1">IFERROR(__xludf.DUMMYFUNCTION("""COMPUTED_VALUE"""),4)</f>
        <v>4</v>
      </c>
      <c r="H85" s="196" t="s">
        <v>77</v>
      </c>
      <c r="I85" s="196"/>
      <c r="J85" s="196" t="s">
        <v>29</v>
      </c>
      <c r="K85" s="196"/>
      <c r="L85" s="196" t="str">
        <v xml:space="preserve"> 28.35</v>
      </c>
      <c r="M85" s="196"/>
    </row>
    <row r="86" spans="1:13" ht="14.4" x14ac:dyDescent="0.3">
      <c r="A86" s="189" t="str">
        <f ca="1">IFERROR(__xludf.DUMMYFUNCTION("""COMPUTED_VALUE"""),"CB")</f>
        <v>CB</v>
      </c>
      <c r="B86" s="195" t="str">
        <f ca="1">IFERROR(__xludf.DUMMYFUNCTION("""COMPUTED_VALUE"""),"Whitney Grantz")</f>
        <v>Whitney Grantz</v>
      </c>
      <c r="C86" s="189">
        <f ca="1">IFERROR(__xludf.DUMMYFUNCTION("""COMPUTED_VALUE"""),8)</f>
        <v>8</v>
      </c>
      <c r="D86" s="189" t="str">
        <f ca="1">IFERROR(__xludf.DUMMYFUNCTION("""COMPUTED_VALUE"""),"G")</f>
        <v>G</v>
      </c>
      <c r="E86" s="189" t="str">
        <f ca="1">IFERROR(__xludf.DUMMYFUNCTION("""COMPUTED_VALUE"""),"F")</f>
        <v>F</v>
      </c>
      <c r="F86" s="189" t="str">
        <f ca="1">IFERROR(__xludf.DUMMYFUNCTION("""COMPUTED_VALUE"""),"J")</f>
        <v>J</v>
      </c>
      <c r="G86" s="189">
        <f ca="1">IFERROR(__xludf.DUMMYFUNCTION("""COMPUTED_VALUE"""),4)</f>
        <v>4</v>
      </c>
      <c r="H86" s="196" t="s">
        <v>36</v>
      </c>
      <c r="I86" s="196"/>
      <c r="J86" s="196" t="s">
        <v>29</v>
      </c>
      <c r="K86" s="196"/>
      <c r="L86" s="196" t="str">
        <v xml:space="preserve"> 23.80</v>
      </c>
      <c r="M86" s="196"/>
    </row>
    <row r="87" spans="1:13" ht="14.4" x14ac:dyDescent="0.3">
      <c r="A87" s="189" t="str">
        <f ca="1">IFERROR(__xludf.DUMMYFUNCTION("""COMPUTED_VALUE"""),"CB")</f>
        <v>CB</v>
      </c>
      <c r="B87" s="195" t="str">
        <f ca="1">IFERROR(__xludf.DUMMYFUNCTION("""COMPUTED_VALUE"""),"Clayton MacGarvey")</f>
        <v>Clayton MacGarvey</v>
      </c>
      <c r="C87" s="189">
        <f ca="1">IFERROR(__xludf.DUMMYFUNCTION("""COMPUTED_VALUE"""),9)</f>
        <v>9</v>
      </c>
      <c r="D87" s="189" t="str">
        <f ca="1">IFERROR(__xludf.DUMMYFUNCTION("""COMPUTED_VALUE"""),"B")</f>
        <v>B</v>
      </c>
      <c r="E87" s="189" t="str">
        <f ca="1">IFERROR(__xludf.DUMMYFUNCTION("""COMPUTED_VALUE"""),"F")</f>
        <v>F</v>
      </c>
      <c r="F87" s="189" t="str">
        <f ca="1">IFERROR(__xludf.DUMMYFUNCTION("""COMPUTED_VALUE"""),"J")</f>
        <v>J</v>
      </c>
      <c r="G87" s="189">
        <f ca="1">IFERROR(__xludf.DUMMYFUNCTION("""COMPUTED_VALUE"""),4)</f>
        <v>4</v>
      </c>
      <c r="H87" s="196"/>
      <c r="I87" s="196"/>
      <c r="J87" s="196"/>
      <c r="K87" s="196"/>
      <c r="L87" s="196" t="str">
        <v/>
      </c>
      <c r="M87" s="196"/>
    </row>
    <row r="88" spans="1:13" ht="14.4" x14ac:dyDescent="0.3">
      <c r="A88" s="189" t="str">
        <f ca="1">IFERROR(__xludf.DUMMYFUNCTION("""COMPUTED_VALUE"""),"CB")</f>
        <v>CB</v>
      </c>
      <c r="B88" s="195" t="str">
        <f ca="1">IFERROR(__xludf.DUMMYFUNCTION("""COMPUTED_VALUE"""),"Evan Tan")</f>
        <v>Evan Tan</v>
      </c>
      <c r="C88" s="189">
        <f ca="1">IFERROR(__xludf.DUMMYFUNCTION("""COMPUTED_VALUE"""),9)</f>
        <v>9</v>
      </c>
      <c r="D88" s="189" t="str">
        <f ca="1">IFERROR(__xludf.DUMMYFUNCTION("""COMPUTED_VALUE"""),"B")</f>
        <v>B</v>
      </c>
      <c r="E88" s="189" t="str">
        <f ca="1">IFERROR(__xludf.DUMMYFUNCTION("""COMPUTED_VALUE"""),"F")</f>
        <v>F</v>
      </c>
      <c r="F88" s="189" t="str">
        <f ca="1">IFERROR(__xludf.DUMMYFUNCTION("""COMPUTED_VALUE"""),"J")</f>
        <v>J</v>
      </c>
      <c r="G88" s="189">
        <f ca="1">IFERROR(__xludf.DUMMYFUNCTION("""COMPUTED_VALUE"""),4)</f>
        <v>4</v>
      </c>
      <c r="H88" s="196" t="s">
        <v>78</v>
      </c>
      <c r="I88" s="196"/>
      <c r="J88" s="196" t="s">
        <v>29</v>
      </c>
      <c r="K88" s="196"/>
      <c r="L88" s="196" t="str">
        <v xml:space="preserve"> 48.15</v>
      </c>
      <c r="M88" s="196"/>
    </row>
    <row r="89" spans="1:13" ht="14.4" x14ac:dyDescent="0.3">
      <c r="A89" s="189" t="str">
        <f ca="1">IFERROR(__xludf.DUMMYFUNCTION("""COMPUTED_VALUE"""),"CB")</f>
        <v>CB</v>
      </c>
      <c r="B89" s="195" t="str">
        <f ca="1">IFERROR(__xludf.DUMMYFUNCTION("""COMPUTED_VALUE"""),"Ezra Landman")</f>
        <v>Ezra Landman</v>
      </c>
      <c r="C89" s="189">
        <f ca="1">IFERROR(__xludf.DUMMYFUNCTION("""COMPUTED_VALUE"""),8)</f>
        <v>8</v>
      </c>
      <c r="D89" s="189" t="str">
        <f ca="1">IFERROR(__xludf.DUMMYFUNCTION("""COMPUTED_VALUE"""),"B")</f>
        <v>B</v>
      </c>
      <c r="E89" s="189" t="str">
        <f ca="1">IFERROR(__xludf.DUMMYFUNCTION("""COMPUTED_VALUE"""),"F")</f>
        <v>F</v>
      </c>
      <c r="F89" s="189" t="str">
        <f ca="1">IFERROR(__xludf.DUMMYFUNCTION("""COMPUTED_VALUE"""),"J")</f>
        <v>J</v>
      </c>
      <c r="G89" s="189">
        <f ca="1">IFERROR(__xludf.DUMMYFUNCTION("""COMPUTED_VALUE"""),4)</f>
        <v>4</v>
      </c>
      <c r="H89" s="196" t="s">
        <v>76</v>
      </c>
      <c r="I89" s="196"/>
      <c r="J89" s="196" t="s">
        <v>29</v>
      </c>
      <c r="K89" s="196"/>
      <c r="L89" s="196" t="str">
        <v xml:space="preserve"> 50.95</v>
      </c>
      <c r="M89" s="196"/>
    </row>
    <row r="90" spans="1:13" ht="14.4" x14ac:dyDescent="0.3">
      <c r="A90" s="189" t="str">
        <f ca="1">IFERROR(__xludf.DUMMYFUNCTION("""COMPUTED_VALUE"""),"CB")</f>
        <v>CB</v>
      </c>
      <c r="B90" s="195" t="str">
        <f ca="1">IFERROR(__xludf.DUMMYFUNCTION("""COMPUTED_VALUE"""),"Ian Mormann")</f>
        <v>Ian Mormann</v>
      </c>
      <c r="C90" s="189">
        <f ca="1">IFERROR(__xludf.DUMMYFUNCTION("""COMPUTED_VALUE"""),10)</f>
        <v>10</v>
      </c>
      <c r="D90" s="189" t="str">
        <f ca="1">IFERROR(__xludf.DUMMYFUNCTION("""COMPUTED_VALUE"""),"B")</f>
        <v>B</v>
      </c>
      <c r="E90" s="189" t="str">
        <f ca="1">IFERROR(__xludf.DUMMYFUNCTION("""COMPUTED_VALUE"""),"F")</f>
        <v>F</v>
      </c>
      <c r="F90" s="189" t="str">
        <f ca="1">IFERROR(__xludf.DUMMYFUNCTION("""COMPUTED_VALUE"""),"J")</f>
        <v>J</v>
      </c>
      <c r="G90" s="189">
        <f ca="1">IFERROR(__xludf.DUMMYFUNCTION("""COMPUTED_VALUE"""),4)</f>
        <v>4</v>
      </c>
      <c r="H90" s="196"/>
      <c r="I90" s="196"/>
      <c r="J90" s="196"/>
      <c r="K90" s="196"/>
      <c r="L90" s="196" t="str">
        <v/>
      </c>
      <c r="M90" s="196"/>
    </row>
    <row r="91" spans="1:13" ht="14.4" x14ac:dyDescent="0.3">
      <c r="A91" s="189" t="str">
        <f ca="1">IFERROR(__xludf.DUMMYFUNCTION("""COMPUTED_VALUE"""),"CB")</f>
        <v>CB</v>
      </c>
      <c r="B91" s="195" t="str">
        <f ca="1">IFERROR(__xludf.DUMMYFUNCTION("""COMPUTED_VALUE"""),"Jack Zecher")</f>
        <v>Jack Zecher</v>
      </c>
      <c r="C91" s="189">
        <f ca="1">IFERROR(__xludf.DUMMYFUNCTION("""COMPUTED_VALUE"""),10)</f>
        <v>10</v>
      </c>
      <c r="D91" s="189" t="str">
        <f ca="1">IFERROR(__xludf.DUMMYFUNCTION("""COMPUTED_VALUE"""),"B")</f>
        <v>B</v>
      </c>
      <c r="E91" s="189" t="str">
        <f ca="1">IFERROR(__xludf.DUMMYFUNCTION("""COMPUTED_VALUE"""),"F")</f>
        <v>F</v>
      </c>
      <c r="F91" s="189" t="str">
        <f ca="1">IFERROR(__xludf.DUMMYFUNCTION("""COMPUTED_VALUE"""),"J")</f>
        <v>J</v>
      </c>
      <c r="G91" s="189">
        <f ca="1">IFERROR(__xludf.DUMMYFUNCTION("""COMPUTED_VALUE"""),4)</f>
        <v>4</v>
      </c>
      <c r="H91" s="196"/>
      <c r="I91" s="196"/>
      <c r="J91" s="196"/>
      <c r="K91" s="196"/>
      <c r="L91" s="196" t="str">
        <v/>
      </c>
      <c r="M91" s="196"/>
    </row>
    <row r="92" spans="1:13" ht="14.4" x14ac:dyDescent="0.3">
      <c r="A92" s="189" t="str">
        <f ca="1">IFERROR(__xludf.DUMMYFUNCTION("""COMPUTED_VALUE"""),"CB")</f>
        <v>CB</v>
      </c>
      <c r="B92" s="195" t="str">
        <f ca="1">IFERROR(__xludf.DUMMYFUNCTION("""COMPUTED_VALUE"""),"Mason Georgas")</f>
        <v>Mason Georgas</v>
      </c>
      <c r="C92" s="189">
        <f ca="1">IFERROR(__xludf.DUMMYFUNCTION("""COMPUTED_VALUE"""),10)</f>
        <v>10</v>
      </c>
      <c r="D92" s="189" t="str">
        <f ca="1">IFERROR(__xludf.DUMMYFUNCTION("""COMPUTED_VALUE"""),"B")</f>
        <v>B</v>
      </c>
      <c r="E92" s="189" t="str">
        <f ca="1">IFERROR(__xludf.DUMMYFUNCTION("""COMPUTED_VALUE"""),"F")</f>
        <v>F</v>
      </c>
      <c r="F92" s="189" t="str">
        <f ca="1">IFERROR(__xludf.DUMMYFUNCTION("""COMPUTED_VALUE"""),"J")</f>
        <v>J</v>
      </c>
      <c r="G92" s="189">
        <f ca="1">IFERROR(__xludf.DUMMYFUNCTION("""COMPUTED_VALUE"""),4)</f>
        <v>4</v>
      </c>
      <c r="H92" s="196"/>
      <c r="I92" s="196"/>
      <c r="J92" s="196"/>
      <c r="K92" s="196"/>
      <c r="L92" s="196" t="str">
        <v/>
      </c>
      <c r="M92" s="196"/>
    </row>
    <row r="93" spans="1:13" ht="14.4" x14ac:dyDescent="0.3">
      <c r="A93" s="189" t="str">
        <f ca="1">IFERROR(__xludf.DUMMYFUNCTION("""COMPUTED_VALUE"""),"CB")</f>
        <v>CB</v>
      </c>
      <c r="B93" s="195" t="str">
        <f ca="1">IFERROR(__xludf.DUMMYFUNCTION("""COMPUTED_VALUE"""),"Michael Moss")</f>
        <v>Michael Moss</v>
      </c>
      <c r="C93" s="189">
        <f ca="1">IFERROR(__xludf.DUMMYFUNCTION("""COMPUTED_VALUE"""),9)</f>
        <v>9</v>
      </c>
      <c r="D93" s="189" t="str">
        <f ca="1">IFERROR(__xludf.DUMMYFUNCTION("""COMPUTED_VALUE"""),"B")</f>
        <v>B</v>
      </c>
      <c r="E93" s="189" t="str">
        <f ca="1">IFERROR(__xludf.DUMMYFUNCTION("""COMPUTED_VALUE"""),"F")</f>
        <v>F</v>
      </c>
      <c r="F93" s="189" t="str">
        <f ca="1">IFERROR(__xludf.DUMMYFUNCTION("""COMPUTED_VALUE"""),"J")</f>
        <v>J</v>
      </c>
      <c r="G93" s="189">
        <f ca="1">IFERROR(__xludf.DUMMYFUNCTION("""COMPUTED_VALUE"""),4)</f>
        <v>4</v>
      </c>
      <c r="H93" s="196"/>
      <c r="I93" s="196"/>
      <c r="J93" s="196"/>
      <c r="K93" s="196"/>
      <c r="L93" s="196" t="str">
        <v/>
      </c>
      <c r="M93" s="196"/>
    </row>
    <row r="94" spans="1:13" ht="14.4" x14ac:dyDescent="0.3">
      <c r="A94" s="189" t="str">
        <f ca="1">IFERROR(__xludf.DUMMYFUNCTION("""COMPUTED_VALUE"""),"CB")</f>
        <v>CB</v>
      </c>
      <c r="B94" s="195" t="str">
        <f ca="1">IFERROR(__xludf.DUMMYFUNCTION("""COMPUTED_VALUE"""),"Nathan Easley")</f>
        <v>Nathan Easley</v>
      </c>
      <c r="C94" s="189">
        <f ca="1">IFERROR(__xludf.DUMMYFUNCTION("""COMPUTED_VALUE"""),8)</f>
        <v>8</v>
      </c>
      <c r="D94" s="189" t="str">
        <f ca="1">IFERROR(__xludf.DUMMYFUNCTION("""COMPUTED_VALUE"""),"B")</f>
        <v>B</v>
      </c>
      <c r="E94" s="189" t="str">
        <f ca="1">IFERROR(__xludf.DUMMYFUNCTION("""COMPUTED_VALUE"""),"F")</f>
        <v>F</v>
      </c>
      <c r="F94" s="189" t="str">
        <f ca="1">IFERROR(__xludf.DUMMYFUNCTION("""COMPUTED_VALUE"""),"J")</f>
        <v>J</v>
      </c>
      <c r="G94" s="189">
        <f ca="1">IFERROR(__xludf.DUMMYFUNCTION("""COMPUTED_VALUE"""),4)</f>
        <v>4</v>
      </c>
      <c r="H94" s="196"/>
      <c r="I94" s="196"/>
      <c r="J94" s="196"/>
      <c r="K94" s="196"/>
      <c r="L94" s="196" t="str">
        <v/>
      </c>
      <c r="M94" s="196"/>
    </row>
    <row r="95" spans="1:13" ht="14.4" x14ac:dyDescent="0.3">
      <c r="A95" s="189" t="str">
        <f ca="1">IFERROR(__xludf.DUMMYFUNCTION("""COMPUTED_VALUE"""),"CB")</f>
        <v>CB</v>
      </c>
      <c r="B95" s="195" t="str">
        <f ca="1">IFERROR(__xludf.DUMMYFUNCTION("""COMPUTED_VALUE"""),"Oliver Roques")</f>
        <v>Oliver Roques</v>
      </c>
      <c r="C95" s="189">
        <f ca="1">IFERROR(__xludf.DUMMYFUNCTION("""COMPUTED_VALUE"""),5)</f>
        <v>5</v>
      </c>
      <c r="D95" s="189" t="str">
        <f ca="1">IFERROR(__xludf.DUMMYFUNCTION("""COMPUTED_VALUE"""),"B")</f>
        <v>B</v>
      </c>
      <c r="E95" s="189" t="str">
        <f ca="1">IFERROR(__xludf.DUMMYFUNCTION("""COMPUTED_VALUE"""),"F")</f>
        <v>F</v>
      </c>
      <c r="F95" s="189" t="str">
        <f ca="1">IFERROR(__xludf.DUMMYFUNCTION("""COMPUTED_VALUE"""),"J")</f>
        <v>J</v>
      </c>
      <c r="G95" s="189">
        <f ca="1">IFERROR(__xludf.DUMMYFUNCTION("""COMPUTED_VALUE"""),4)</f>
        <v>4</v>
      </c>
      <c r="H95" s="196" t="s">
        <v>79</v>
      </c>
      <c r="I95" s="196"/>
      <c r="J95" s="196" t="s">
        <v>29</v>
      </c>
      <c r="K95" s="196"/>
      <c r="L95" s="196" t="str">
        <v xml:space="preserve"> 34.85</v>
      </c>
      <c r="M95" s="196"/>
    </row>
    <row r="96" spans="1:13" ht="14.4" x14ac:dyDescent="0.3">
      <c r="A96" s="189" t="str">
        <f ca="1">IFERROR(__xludf.DUMMYFUNCTION("""COMPUTED_VALUE"""),"CB")</f>
        <v>CB</v>
      </c>
      <c r="B96" s="195" t="str">
        <f ca="1">IFERROR(__xludf.DUMMYFUNCTION("""COMPUTED_VALUE"""),"Erika Noreika")</f>
        <v>Erika Noreika</v>
      </c>
      <c r="C96" s="189">
        <f ca="1">IFERROR(__xludf.DUMMYFUNCTION("""COMPUTED_VALUE"""),14)</f>
        <v>14</v>
      </c>
      <c r="D96" s="189" t="str">
        <f ca="1">IFERROR(__xludf.DUMMYFUNCTION("""COMPUTED_VALUE"""),"G")</f>
        <v>G</v>
      </c>
      <c r="E96" s="189" t="str">
        <f ca="1">IFERROR(__xludf.DUMMYFUNCTION("""COMPUTED_VALUE"""),"I")</f>
        <v>I</v>
      </c>
      <c r="F96" s="189" t="str">
        <f ca="1">IFERROR(__xludf.DUMMYFUNCTION("""COMPUTED_VALUE"""),"S")</f>
        <v>S</v>
      </c>
      <c r="G96" s="189">
        <f ca="1">IFERROR(__xludf.DUMMYFUNCTION("""COMPUTED_VALUE"""),4)</f>
        <v>4</v>
      </c>
      <c r="H96" s="196" t="s">
        <v>80</v>
      </c>
      <c r="I96" s="196"/>
      <c r="J96" s="196" t="s">
        <v>29</v>
      </c>
      <c r="K96" s="196"/>
      <c r="L96" s="196" t="str">
        <v xml:space="preserve"> 99.40</v>
      </c>
      <c r="M96" s="196"/>
    </row>
    <row r="97" spans="1:13" ht="14.4" x14ac:dyDescent="0.3">
      <c r="A97" s="189" t="str">
        <f ca="1">IFERROR(__xludf.DUMMYFUNCTION("""COMPUTED_VALUE"""),"CB")</f>
        <v>CB</v>
      </c>
      <c r="B97" s="195" t="str">
        <f ca="1">IFERROR(__xludf.DUMMYFUNCTION("""COMPUTED_VALUE"""),"Gabby Gallagher")</f>
        <v>Gabby Gallagher</v>
      </c>
      <c r="C97" s="189">
        <f ca="1">IFERROR(__xludf.DUMMYFUNCTION("""COMPUTED_VALUE"""),13)</f>
        <v>13</v>
      </c>
      <c r="D97" s="189" t="str">
        <f ca="1">IFERROR(__xludf.DUMMYFUNCTION("""COMPUTED_VALUE"""),"G")</f>
        <v>G</v>
      </c>
      <c r="E97" s="189" t="str">
        <f ca="1">IFERROR(__xludf.DUMMYFUNCTION("""COMPUTED_VALUE"""),"I")</f>
        <v>I</v>
      </c>
      <c r="F97" s="189" t="str">
        <f ca="1">IFERROR(__xludf.DUMMYFUNCTION("""COMPUTED_VALUE"""),"S")</f>
        <v>S</v>
      </c>
      <c r="G97" s="189">
        <f ca="1">IFERROR(__xludf.DUMMYFUNCTION("""COMPUTED_VALUE"""),4)</f>
        <v>4</v>
      </c>
      <c r="H97" s="196"/>
      <c r="I97" s="196"/>
      <c r="J97" s="196"/>
      <c r="K97" s="196"/>
      <c r="L97" s="196" t="str">
        <v/>
      </c>
      <c r="M97" s="196"/>
    </row>
    <row r="98" spans="1:13" ht="14.4" x14ac:dyDescent="0.3">
      <c r="A98" s="189" t="str">
        <f ca="1">IFERROR(__xludf.DUMMYFUNCTION("""COMPUTED_VALUE"""),"CB")</f>
        <v>CB</v>
      </c>
      <c r="B98" s="195" t="str">
        <f ca="1">IFERROR(__xludf.DUMMYFUNCTION("""COMPUTED_VALUE"""),"Julieanne Carle")</f>
        <v>Julieanne Carle</v>
      </c>
      <c r="C98" s="189">
        <f ca="1">IFERROR(__xludf.DUMMYFUNCTION("""COMPUTED_VALUE"""),13)</f>
        <v>13</v>
      </c>
      <c r="D98" s="189" t="str">
        <f ca="1">IFERROR(__xludf.DUMMYFUNCTION("""COMPUTED_VALUE"""),"G")</f>
        <v>G</v>
      </c>
      <c r="E98" s="189" t="str">
        <f ca="1">IFERROR(__xludf.DUMMYFUNCTION("""COMPUTED_VALUE"""),"I")</f>
        <v>I</v>
      </c>
      <c r="F98" s="189" t="str">
        <f ca="1">IFERROR(__xludf.DUMMYFUNCTION("""COMPUTED_VALUE"""),"S")</f>
        <v>S</v>
      </c>
      <c r="G98" s="189">
        <f ca="1">IFERROR(__xludf.DUMMYFUNCTION("""COMPUTED_VALUE"""),4)</f>
        <v>4</v>
      </c>
      <c r="H98" s="196"/>
      <c r="I98" s="196"/>
      <c r="J98" s="196"/>
      <c r="K98" s="196"/>
      <c r="L98" s="196" t="str">
        <v/>
      </c>
      <c r="M98" s="196"/>
    </row>
    <row r="99" spans="1:13" ht="14.4" x14ac:dyDescent="0.3">
      <c r="A99" s="189" t="str">
        <f ca="1">IFERROR(__xludf.DUMMYFUNCTION("""COMPUTED_VALUE"""),"CB")</f>
        <v>CB</v>
      </c>
      <c r="B99" s="195" t="str">
        <f ca="1">IFERROR(__xludf.DUMMYFUNCTION("""COMPUTED_VALUE"""),"Lilah Gallagher")</f>
        <v>Lilah Gallagher</v>
      </c>
      <c r="C99" s="189">
        <f ca="1">IFERROR(__xludf.DUMMYFUNCTION("""COMPUTED_VALUE"""),13)</f>
        <v>13</v>
      </c>
      <c r="D99" s="189" t="str">
        <f ca="1">IFERROR(__xludf.DUMMYFUNCTION("""COMPUTED_VALUE"""),"G")</f>
        <v>G</v>
      </c>
      <c r="E99" s="189" t="str">
        <f ca="1">IFERROR(__xludf.DUMMYFUNCTION("""COMPUTED_VALUE"""),"I")</f>
        <v>I</v>
      </c>
      <c r="F99" s="189" t="str">
        <f ca="1">IFERROR(__xludf.DUMMYFUNCTION("""COMPUTED_VALUE"""),"S")</f>
        <v>S</v>
      </c>
      <c r="G99" s="189">
        <f ca="1">IFERROR(__xludf.DUMMYFUNCTION("""COMPUTED_VALUE"""),4)</f>
        <v>4</v>
      </c>
      <c r="H99" s="196"/>
      <c r="I99" s="196"/>
      <c r="J99" s="196"/>
      <c r="K99" s="196"/>
      <c r="L99" s="196" t="str">
        <v/>
      </c>
      <c r="M99" s="196"/>
    </row>
    <row r="100" spans="1:13" ht="14.4" x14ac:dyDescent="0.3">
      <c r="A100" s="189" t="str">
        <f ca="1">IFERROR(__xludf.DUMMYFUNCTION("""COMPUTED_VALUE"""),"CB")</f>
        <v>CB</v>
      </c>
      <c r="B100" s="195" t="str">
        <f ca="1">IFERROR(__xludf.DUMMYFUNCTION("""COMPUTED_VALUE"""),"Lyrics Chen")</f>
        <v>Lyrics Chen</v>
      </c>
      <c r="C100" s="189">
        <f ca="1">IFERROR(__xludf.DUMMYFUNCTION("""COMPUTED_VALUE"""),13)</f>
        <v>13</v>
      </c>
      <c r="D100" s="189" t="str">
        <f ca="1">IFERROR(__xludf.DUMMYFUNCTION("""COMPUTED_VALUE"""),"G")</f>
        <v>G</v>
      </c>
      <c r="E100" s="189" t="str">
        <f ca="1">IFERROR(__xludf.DUMMYFUNCTION("""COMPUTED_VALUE"""),"I")</f>
        <v>I</v>
      </c>
      <c r="F100" s="189" t="str">
        <f ca="1">IFERROR(__xludf.DUMMYFUNCTION("""COMPUTED_VALUE"""),"S")</f>
        <v>S</v>
      </c>
      <c r="G100" s="189">
        <f ca="1">IFERROR(__xludf.DUMMYFUNCTION("""COMPUTED_VALUE"""),4)</f>
        <v>4</v>
      </c>
      <c r="H100" s="196"/>
      <c r="I100" s="196"/>
      <c r="J100" s="196"/>
      <c r="K100" s="196"/>
      <c r="L100" s="196" t="str">
        <v/>
      </c>
      <c r="M100" s="196"/>
    </row>
    <row r="101" spans="1:13" ht="14.4" x14ac:dyDescent="0.3">
      <c r="A101" s="189" t="str">
        <f ca="1">IFERROR(__xludf.DUMMYFUNCTION("""COMPUTED_VALUE"""),"CB")</f>
        <v>CB</v>
      </c>
      <c r="B101" s="195" t="str">
        <f ca="1">IFERROR(__xludf.DUMMYFUNCTION("""COMPUTED_VALUE"""),"Marie Christofferson")</f>
        <v>Marie Christofferson</v>
      </c>
      <c r="C101" s="189">
        <f ca="1">IFERROR(__xludf.DUMMYFUNCTION("""COMPUTED_VALUE"""),14)</f>
        <v>14</v>
      </c>
      <c r="D101" s="189" t="str">
        <f ca="1">IFERROR(__xludf.DUMMYFUNCTION("""COMPUTED_VALUE"""),"G")</f>
        <v>G</v>
      </c>
      <c r="E101" s="189" t="str">
        <f ca="1">IFERROR(__xludf.DUMMYFUNCTION("""COMPUTED_VALUE"""),"I")</f>
        <v>I</v>
      </c>
      <c r="F101" s="189" t="str">
        <f ca="1">IFERROR(__xludf.DUMMYFUNCTION("""COMPUTED_VALUE"""),"S")</f>
        <v>S</v>
      </c>
      <c r="G101" s="189">
        <f ca="1">IFERROR(__xludf.DUMMYFUNCTION("""COMPUTED_VALUE"""),4)</f>
        <v>4</v>
      </c>
      <c r="H101" s="196"/>
      <c r="I101" s="196"/>
      <c r="J101" s="196"/>
      <c r="K101" s="196"/>
      <c r="L101" s="196" t="str">
        <v/>
      </c>
      <c r="M101" s="196"/>
    </row>
    <row r="102" spans="1:13" ht="14.4" x14ac:dyDescent="0.3">
      <c r="A102" s="189" t="str">
        <f ca="1">IFERROR(__xludf.DUMMYFUNCTION("""COMPUTED_VALUE"""),"CB")</f>
        <v>CB</v>
      </c>
      <c r="B102" s="195" t="str">
        <f ca="1">IFERROR(__xludf.DUMMYFUNCTION("""COMPUTED_VALUE"""),"Sloane Carle")</f>
        <v>Sloane Carle</v>
      </c>
      <c r="C102" s="189">
        <f ca="1">IFERROR(__xludf.DUMMYFUNCTION("""COMPUTED_VALUE"""),13)</f>
        <v>13</v>
      </c>
      <c r="D102" s="189" t="str">
        <f ca="1">IFERROR(__xludf.DUMMYFUNCTION("""COMPUTED_VALUE"""),"G")</f>
        <v>G</v>
      </c>
      <c r="E102" s="189" t="str">
        <f ca="1">IFERROR(__xludf.DUMMYFUNCTION("""COMPUTED_VALUE"""),"I")</f>
        <v>I</v>
      </c>
      <c r="F102" s="189" t="str">
        <f ca="1">IFERROR(__xludf.DUMMYFUNCTION("""COMPUTED_VALUE"""),"S")</f>
        <v>S</v>
      </c>
      <c r="G102" s="189">
        <f ca="1">IFERROR(__xludf.DUMMYFUNCTION("""COMPUTED_VALUE"""),4)</f>
        <v>4</v>
      </c>
      <c r="H102" s="196"/>
      <c r="I102" s="196"/>
      <c r="J102" s="196"/>
      <c r="K102" s="196"/>
      <c r="L102" s="196" t="str">
        <v/>
      </c>
      <c r="M102" s="196"/>
    </row>
    <row r="103" spans="1:13" ht="14.4" x14ac:dyDescent="0.3">
      <c r="A103" s="189" t="str">
        <f ca="1">IFERROR(__xludf.DUMMYFUNCTION("""COMPUTED_VALUE"""),"CB")</f>
        <v>CB</v>
      </c>
      <c r="B103" s="195" t="str">
        <f ca="1">IFERROR(__xludf.DUMMYFUNCTION("""COMPUTED_VALUE"""),"Finn Bellavia-Cortezi")</f>
        <v>Finn Bellavia-Cortezi</v>
      </c>
      <c r="C103" s="189">
        <f ca="1">IFERROR(__xludf.DUMMYFUNCTION("""COMPUTED_VALUE"""),14)</f>
        <v>14</v>
      </c>
      <c r="D103" s="189" t="str">
        <f ca="1">IFERROR(__xludf.DUMMYFUNCTION("""COMPUTED_VALUE"""),"B")</f>
        <v>B</v>
      </c>
      <c r="E103" s="189" t="str">
        <f ca="1">IFERROR(__xludf.DUMMYFUNCTION("""COMPUTED_VALUE"""),"I")</f>
        <v>I</v>
      </c>
      <c r="F103" s="189" t="str">
        <f ca="1">IFERROR(__xludf.DUMMYFUNCTION("""COMPUTED_VALUE"""),"S")</f>
        <v>S</v>
      </c>
      <c r="G103" s="189">
        <f ca="1">IFERROR(__xludf.DUMMYFUNCTION("""COMPUTED_VALUE"""),4)</f>
        <v>4</v>
      </c>
      <c r="H103" s="196"/>
      <c r="I103" s="196"/>
      <c r="J103" s="196"/>
      <c r="K103" s="196"/>
      <c r="L103" s="196" t="str">
        <v/>
      </c>
      <c r="M103" s="196"/>
    </row>
    <row r="104" spans="1:13" ht="14.4" x14ac:dyDescent="0.3">
      <c r="A104" s="189" t="str">
        <f ca="1">IFERROR(__xludf.DUMMYFUNCTION("""COMPUTED_VALUE"""),"CB")</f>
        <v>CB</v>
      </c>
      <c r="B104" s="195" t="str">
        <f ca="1">IFERROR(__xludf.DUMMYFUNCTION("""COMPUTED_VALUE"""),"Gordon Anderson")</f>
        <v>Gordon Anderson</v>
      </c>
      <c r="C104" s="189">
        <f ca="1">IFERROR(__xludf.DUMMYFUNCTION("""COMPUTED_VALUE"""),14)</f>
        <v>14</v>
      </c>
      <c r="D104" s="189" t="str">
        <f ca="1">IFERROR(__xludf.DUMMYFUNCTION("""COMPUTED_VALUE"""),"B")</f>
        <v>B</v>
      </c>
      <c r="E104" s="189" t="str">
        <f ca="1">IFERROR(__xludf.DUMMYFUNCTION("""COMPUTED_VALUE"""),"I")</f>
        <v>I</v>
      </c>
      <c r="F104" s="189" t="str">
        <f ca="1">IFERROR(__xludf.DUMMYFUNCTION("""COMPUTED_VALUE"""),"S")</f>
        <v>S</v>
      </c>
      <c r="G104" s="189">
        <f ca="1">IFERROR(__xludf.DUMMYFUNCTION("""COMPUTED_VALUE"""),4)</f>
        <v>4</v>
      </c>
      <c r="H104" s="196" t="s">
        <v>81</v>
      </c>
      <c r="I104" s="196"/>
      <c r="J104" s="196" t="s">
        <v>29</v>
      </c>
      <c r="K104" s="196"/>
      <c r="L104" s="196" t="str">
        <v xml:space="preserve"> 93.35</v>
      </c>
      <c r="M104" s="196"/>
    </row>
    <row r="105" spans="1:13" ht="14.4" x14ac:dyDescent="0.3">
      <c r="A105" s="189" t="str">
        <f ca="1">IFERROR(__xludf.DUMMYFUNCTION("""COMPUTED_VALUE"""),"CB")</f>
        <v>CB</v>
      </c>
      <c r="B105" s="195" t="str">
        <f ca="1">IFERROR(__xludf.DUMMYFUNCTION("""COMPUTED_VALUE"""),"Ellie Hahn")</f>
        <v>Ellie Hahn</v>
      </c>
      <c r="C105" s="189">
        <f ca="1">IFERROR(__xludf.DUMMYFUNCTION("""COMPUTED_VALUE"""),11)</f>
        <v>11</v>
      </c>
      <c r="D105" s="189" t="str">
        <f ca="1">IFERROR(__xludf.DUMMYFUNCTION("""COMPUTED_VALUE"""),"G")</f>
        <v>G</v>
      </c>
      <c r="E105" s="189" t="str">
        <f ca="1">IFERROR(__xludf.DUMMYFUNCTION("""COMPUTED_VALUE"""),"J")</f>
        <v>J</v>
      </c>
      <c r="F105" s="189" t="str">
        <f ca="1">IFERROR(__xludf.DUMMYFUNCTION("""COMPUTED_VALUE"""),"I")</f>
        <v>I</v>
      </c>
      <c r="G105" s="189">
        <f ca="1">IFERROR(__xludf.DUMMYFUNCTION("""COMPUTED_VALUE"""),4)</f>
        <v>4</v>
      </c>
      <c r="H105" s="196"/>
      <c r="I105" s="196"/>
      <c r="J105" s="196"/>
      <c r="K105" s="196"/>
      <c r="L105" s="196" t="str">
        <v/>
      </c>
      <c r="M105" s="196"/>
    </row>
    <row r="106" spans="1:13" ht="14.4" x14ac:dyDescent="0.3">
      <c r="A106" s="189" t="str">
        <f ca="1">IFERROR(__xludf.DUMMYFUNCTION("""COMPUTED_VALUE"""),"CB")</f>
        <v>CB</v>
      </c>
      <c r="B106" s="195" t="str">
        <f ca="1">IFERROR(__xludf.DUMMYFUNCTION("""COMPUTED_VALUE"""),"Evah Pho")</f>
        <v>Evah Pho</v>
      </c>
      <c r="C106" s="189">
        <f ca="1">IFERROR(__xludf.DUMMYFUNCTION("""COMPUTED_VALUE"""),12)</f>
        <v>12</v>
      </c>
      <c r="D106" s="189" t="str">
        <f ca="1">IFERROR(__xludf.DUMMYFUNCTION("""COMPUTED_VALUE"""),"G")</f>
        <v>G</v>
      </c>
      <c r="E106" s="189" t="str">
        <f ca="1">IFERROR(__xludf.DUMMYFUNCTION("""COMPUTED_VALUE"""),"J")</f>
        <v>J</v>
      </c>
      <c r="F106" s="189" t="str">
        <f ca="1">IFERROR(__xludf.DUMMYFUNCTION("""COMPUTED_VALUE"""),"I")</f>
        <v>I</v>
      </c>
      <c r="G106" s="189">
        <f ca="1">IFERROR(__xludf.DUMMYFUNCTION("""COMPUTED_VALUE"""),4)</f>
        <v>4</v>
      </c>
      <c r="H106" s="196"/>
      <c r="I106" s="196"/>
      <c r="J106" s="196"/>
      <c r="K106" s="196"/>
      <c r="L106" s="196" t="str">
        <v/>
      </c>
      <c r="M106" s="196"/>
    </row>
    <row r="107" spans="1:13" ht="14.4" x14ac:dyDescent="0.3">
      <c r="A107" s="189" t="str">
        <f ca="1">IFERROR(__xludf.DUMMYFUNCTION("""COMPUTED_VALUE"""),"CB")</f>
        <v>CB</v>
      </c>
      <c r="B107" s="195" t="str">
        <f ca="1">IFERROR(__xludf.DUMMYFUNCTION("""COMPUTED_VALUE"""),"Jacqueline Sandridge")</f>
        <v>Jacqueline Sandridge</v>
      </c>
      <c r="C107" s="189">
        <f ca="1">IFERROR(__xludf.DUMMYFUNCTION("""COMPUTED_VALUE"""),11)</f>
        <v>11</v>
      </c>
      <c r="D107" s="189" t="str">
        <f ca="1">IFERROR(__xludf.DUMMYFUNCTION("""COMPUTED_VALUE"""),"G")</f>
        <v>G</v>
      </c>
      <c r="E107" s="189" t="str">
        <f ca="1">IFERROR(__xludf.DUMMYFUNCTION("""COMPUTED_VALUE"""),"J")</f>
        <v>J</v>
      </c>
      <c r="F107" s="189" t="str">
        <f ca="1">IFERROR(__xludf.DUMMYFUNCTION("""COMPUTED_VALUE"""),"I")</f>
        <v>I</v>
      </c>
      <c r="G107" s="189">
        <f ca="1">IFERROR(__xludf.DUMMYFUNCTION("""COMPUTED_VALUE"""),4)</f>
        <v>4</v>
      </c>
      <c r="H107" s="196"/>
      <c r="I107" s="196"/>
      <c r="J107" s="196"/>
      <c r="K107" s="196"/>
      <c r="L107" s="196" t="str">
        <v/>
      </c>
      <c r="M107" s="196"/>
    </row>
    <row r="108" spans="1:13" ht="14.4" x14ac:dyDescent="0.3">
      <c r="A108" s="189" t="str">
        <f ca="1">IFERROR(__xludf.DUMMYFUNCTION("""COMPUTED_VALUE"""),"CB")</f>
        <v>CB</v>
      </c>
      <c r="B108" s="195" t="str">
        <f ca="1">IFERROR(__xludf.DUMMYFUNCTION("""COMPUTED_VALUE"""),"Kendall Looney")</f>
        <v>Kendall Looney</v>
      </c>
      <c r="C108" s="189">
        <f ca="1">IFERROR(__xludf.DUMMYFUNCTION("""COMPUTED_VALUE"""),12)</f>
        <v>12</v>
      </c>
      <c r="D108" s="189" t="str">
        <f ca="1">IFERROR(__xludf.DUMMYFUNCTION("""COMPUTED_VALUE"""),"G")</f>
        <v>G</v>
      </c>
      <c r="E108" s="189" t="str">
        <f ca="1">IFERROR(__xludf.DUMMYFUNCTION("""COMPUTED_VALUE"""),"J")</f>
        <v>J</v>
      </c>
      <c r="F108" s="189" t="str">
        <f ca="1">IFERROR(__xludf.DUMMYFUNCTION("""COMPUTED_VALUE"""),"I")</f>
        <v>I</v>
      </c>
      <c r="G108" s="189">
        <f ca="1">IFERROR(__xludf.DUMMYFUNCTION("""COMPUTED_VALUE"""),4)</f>
        <v>4</v>
      </c>
      <c r="H108" s="196"/>
      <c r="I108" s="196"/>
      <c r="J108" s="196"/>
      <c r="K108" s="196"/>
      <c r="L108" s="196" t="str">
        <v/>
      </c>
      <c r="M108" s="196"/>
    </row>
    <row r="109" spans="1:13" ht="14.4" x14ac:dyDescent="0.3">
      <c r="A109" s="189" t="str">
        <f ca="1">IFERROR(__xludf.DUMMYFUNCTION("""COMPUTED_VALUE"""),"CB")</f>
        <v>CB</v>
      </c>
      <c r="B109" s="195" t="str">
        <f ca="1">IFERROR(__xludf.DUMMYFUNCTION("""COMPUTED_VALUE"""),"Leila Iqbal")</f>
        <v>Leila Iqbal</v>
      </c>
      <c r="C109" s="189">
        <f ca="1">IFERROR(__xludf.DUMMYFUNCTION("""COMPUTED_VALUE"""),11)</f>
        <v>11</v>
      </c>
      <c r="D109" s="189" t="str">
        <f ca="1">IFERROR(__xludf.DUMMYFUNCTION("""COMPUTED_VALUE"""),"G")</f>
        <v>G</v>
      </c>
      <c r="E109" s="189" t="str">
        <f ca="1">IFERROR(__xludf.DUMMYFUNCTION("""COMPUTED_VALUE"""),"J")</f>
        <v>J</v>
      </c>
      <c r="F109" s="189" t="str">
        <f ca="1">IFERROR(__xludf.DUMMYFUNCTION("""COMPUTED_VALUE"""),"I")</f>
        <v>I</v>
      </c>
      <c r="G109" s="189">
        <f ca="1">IFERROR(__xludf.DUMMYFUNCTION("""COMPUTED_VALUE"""),4)</f>
        <v>4</v>
      </c>
      <c r="H109" s="196"/>
      <c r="I109" s="196"/>
      <c r="J109" s="196"/>
      <c r="K109" s="196"/>
      <c r="L109" s="196" t="str">
        <v/>
      </c>
      <c r="M109" s="196"/>
    </row>
    <row r="110" spans="1:13" ht="14.4" x14ac:dyDescent="0.3">
      <c r="A110" s="189" t="str">
        <f ca="1">IFERROR(__xludf.DUMMYFUNCTION("""COMPUTED_VALUE"""),"CB")</f>
        <v>CB</v>
      </c>
      <c r="B110" s="195" t="str">
        <f ca="1">IFERROR(__xludf.DUMMYFUNCTION("""COMPUTED_VALUE"""),"Madeleine Philbin")</f>
        <v>Madeleine Philbin</v>
      </c>
      <c r="C110" s="189">
        <f ca="1">IFERROR(__xludf.DUMMYFUNCTION("""COMPUTED_VALUE"""),11)</f>
        <v>11</v>
      </c>
      <c r="D110" s="189" t="str">
        <f ca="1">IFERROR(__xludf.DUMMYFUNCTION("""COMPUTED_VALUE"""),"G")</f>
        <v>G</v>
      </c>
      <c r="E110" s="189" t="str">
        <f ca="1">IFERROR(__xludf.DUMMYFUNCTION("""COMPUTED_VALUE"""),"J")</f>
        <v>J</v>
      </c>
      <c r="F110" s="189" t="str">
        <f ca="1">IFERROR(__xludf.DUMMYFUNCTION("""COMPUTED_VALUE"""),"I")</f>
        <v>I</v>
      </c>
      <c r="G110" s="189">
        <f ca="1">IFERROR(__xludf.DUMMYFUNCTION("""COMPUTED_VALUE"""),4)</f>
        <v>4</v>
      </c>
      <c r="H110" s="196" t="s">
        <v>82</v>
      </c>
      <c r="I110" s="196"/>
      <c r="J110" s="196" t="s">
        <v>29</v>
      </c>
      <c r="K110" s="196"/>
      <c r="L110" s="196" t="str">
        <v xml:space="preserve"> 86.95</v>
      </c>
      <c r="M110" s="196"/>
    </row>
    <row r="111" spans="1:13" ht="14.4" x14ac:dyDescent="0.3">
      <c r="A111" s="189" t="str">
        <f ca="1">IFERROR(__xludf.DUMMYFUNCTION("""COMPUTED_VALUE"""),"CB")</f>
        <v>CB</v>
      </c>
      <c r="B111" s="195" t="str">
        <f ca="1">IFERROR(__xludf.DUMMYFUNCTION("""COMPUTED_VALUE"""),"Madison Katsiak")</f>
        <v>Madison Katsiak</v>
      </c>
      <c r="C111" s="189">
        <f ca="1">IFERROR(__xludf.DUMMYFUNCTION("""COMPUTED_VALUE"""),11)</f>
        <v>11</v>
      </c>
      <c r="D111" s="189" t="str">
        <f ca="1">IFERROR(__xludf.DUMMYFUNCTION("""COMPUTED_VALUE"""),"G")</f>
        <v>G</v>
      </c>
      <c r="E111" s="189" t="str">
        <f ca="1">IFERROR(__xludf.DUMMYFUNCTION("""COMPUTED_VALUE"""),"J")</f>
        <v>J</v>
      </c>
      <c r="F111" s="189" t="str">
        <f ca="1">IFERROR(__xludf.DUMMYFUNCTION("""COMPUTED_VALUE"""),"I")</f>
        <v>I</v>
      </c>
      <c r="G111" s="189">
        <f ca="1">IFERROR(__xludf.DUMMYFUNCTION("""COMPUTED_VALUE"""),4)</f>
        <v>4</v>
      </c>
      <c r="H111" s="196"/>
      <c r="I111" s="196"/>
      <c r="J111" s="196"/>
      <c r="K111" s="196"/>
      <c r="L111" s="196" t="str">
        <v/>
      </c>
      <c r="M111" s="196"/>
    </row>
    <row r="112" spans="1:13" ht="14.4" x14ac:dyDescent="0.3">
      <c r="A112" s="189" t="str">
        <f ca="1">IFERROR(__xludf.DUMMYFUNCTION("""COMPUTED_VALUE"""),"CB")</f>
        <v>CB</v>
      </c>
      <c r="B112" s="195" t="str">
        <f ca="1">IFERROR(__xludf.DUMMYFUNCTION("""COMPUTED_VALUE"""),"Nora Hall")</f>
        <v>Nora Hall</v>
      </c>
      <c r="C112" s="189">
        <f ca="1">IFERROR(__xludf.DUMMYFUNCTION("""COMPUTED_VALUE"""),11)</f>
        <v>11</v>
      </c>
      <c r="D112" s="189" t="str">
        <f ca="1">IFERROR(__xludf.DUMMYFUNCTION("""COMPUTED_VALUE"""),"G")</f>
        <v>G</v>
      </c>
      <c r="E112" s="189" t="str">
        <f ca="1">IFERROR(__xludf.DUMMYFUNCTION("""COMPUTED_VALUE"""),"J")</f>
        <v>J</v>
      </c>
      <c r="F112" s="189" t="str">
        <f ca="1">IFERROR(__xludf.DUMMYFUNCTION("""COMPUTED_VALUE"""),"I")</f>
        <v>I</v>
      </c>
      <c r="G112" s="189">
        <f ca="1">IFERROR(__xludf.DUMMYFUNCTION("""COMPUTED_VALUE"""),4)</f>
        <v>4</v>
      </c>
      <c r="H112" s="196" t="s">
        <v>83</v>
      </c>
      <c r="I112" s="196"/>
      <c r="J112" s="196" t="s">
        <v>29</v>
      </c>
      <c r="K112" s="196"/>
      <c r="L112" s="196" t="str">
        <v xml:space="preserve"> 64.30</v>
      </c>
      <c r="M112" s="196"/>
    </row>
    <row r="113" spans="1:13" ht="14.4" x14ac:dyDescent="0.3">
      <c r="A113" s="189" t="str">
        <f ca="1">IFERROR(__xludf.DUMMYFUNCTION("""COMPUTED_VALUE"""),"CB")</f>
        <v>CB</v>
      </c>
      <c r="B113" s="195" t="str">
        <f ca="1">IFERROR(__xludf.DUMMYFUNCTION("""COMPUTED_VALUE"""),"Sabrina Mao")</f>
        <v>Sabrina Mao</v>
      </c>
      <c r="C113" s="189">
        <f ca="1">IFERROR(__xludf.DUMMYFUNCTION("""COMPUTED_VALUE"""),11)</f>
        <v>11</v>
      </c>
      <c r="D113" s="189" t="str">
        <f ca="1">IFERROR(__xludf.DUMMYFUNCTION("""COMPUTED_VALUE"""),"G")</f>
        <v>G</v>
      </c>
      <c r="E113" s="189" t="str">
        <f ca="1">IFERROR(__xludf.DUMMYFUNCTION("""COMPUTED_VALUE"""),"J")</f>
        <v>J</v>
      </c>
      <c r="F113" s="189" t="str">
        <f ca="1">IFERROR(__xludf.DUMMYFUNCTION("""COMPUTED_VALUE"""),"I")</f>
        <v>I</v>
      </c>
      <c r="G113" s="189">
        <f ca="1">IFERROR(__xludf.DUMMYFUNCTION("""COMPUTED_VALUE"""),4)</f>
        <v>4</v>
      </c>
      <c r="H113" s="196"/>
      <c r="I113" s="196"/>
      <c r="J113" s="196"/>
      <c r="K113" s="196"/>
      <c r="L113" s="196" t="str">
        <v/>
      </c>
      <c r="M113" s="196"/>
    </row>
    <row r="114" spans="1:13" ht="14.4" x14ac:dyDescent="0.3">
      <c r="A114" s="189" t="str">
        <f ca="1">IFERROR(__xludf.DUMMYFUNCTION("""COMPUTED_VALUE"""),"CB")</f>
        <v>CB</v>
      </c>
      <c r="B114" s="195" t="str">
        <f ca="1">IFERROR(__xludf.DUMMYFUNCTION("""COMPUTED_VALUE"""),"Sarah Lazarus")</f>
        <v>Sarah Lazarus</v>
      </c>
      <c r="C114" s="189">
        <f ca="1">IFERROR(__xludf.DUMMYFUNCTION("""COMPUTED_VALUE"""),11)</f>
        <v>11</v>
      </c>
      <c r="D114" s="189" t="str">
        <f ca="1">IFERROR(__xludf.DUMMYFUNCTION("""COMPUTED_VALUE"""),"G")</f>
        <v>G</v>
      </c>
      <c r="E114" s="189" t="str">
        <f ca="1">IFERROR(__xludf.DUMMYFUNCTION("""COMPUTED_VALUE"""),"J")</f>
        <v>J</v>
      </c>
      <c r="F114" s="189" t="str">
        <f ca="1">IFERROR(__xludf.DUMMYFUNCTION("""COMPUTED_VALUE"""),"I")</f>
        <v>I</v>
      </c>
      <c r="G114" s="189">
        <f ca="1">IFERROR(__xludf.DUMMYFUNCTION("""COMPUTED_VALUE"""),4)</f>
        <v>4</v>
      </c>
      <c r="H114" s="196"/>
      <c r="I114" s="196"/>
      <c r="J114" s="196"/>
      <c r="K114" s="196"/>
      <c r="L114" s="196" t="str">
        <v/>
      </c>
      <c r="M114" s="196"/>
    </row>
    <row r="115" spans="1:13" ht="14.4" x14ac:dyDescent="0.3">
      <c r="A115" s="189" t="str">
        <f ca="1">IFERROR(__xludf.DUMMYFUNCTION("""COMPUTED_VALUE"""),"CB")</f>
        <v>CB</v>
      </c>
      <c r="B115" s="195" t="str">
        <f ca="1">IFERROR(__xludf.DUMMYFUNCTION("""COMPUTED_VALUE"""),"Charlie Rogers")</f>
        <v>Charlie Rogers</v>
      </c>
      <c r="C115" s="189">
        <f ca="1">IFERROR(__xludf.DUMMYFUNCTION("""COMPUTED_VALUE"""),11)</f>
        <v>11</v>
      </c>
      <c r="D115" s="189" t="str">
        <f ca="1">IFERROR(__xludf.DUMMYFUNCTION("""COMPUTED_VALUE"""),"B")</f>
        <v>B</v>
      </c>
      <c r="E115" s="189" t="str">
        <f ca="1">IFERROR(__xludf.DUMMYFUNCTION("""COMPUTED_VALUE"""),"J")</f>
        <v>J</v>
      </c>
      <c r="F115" s="189" t="str">
        <f ca="1">IFERROR(__xludf.DUMMYFUNCTION("""COMPUTED_VALUE"""),"I")</f>
        <v>I</v>
      </c>
      <c r="G115" s="189">
        <f ca="1">IFERROR(__xludf.DUMMYFUNCTION("""COMPUTED_VALUE"""),4)</f>
        <v>4</v>
      </c>
      <c r="H115" s="196" t="s">
        <v>84</v>
      </c>
      <c r="I115" s="196"/>
      <c r="J115" s="196" t="s">
        <v>29</v>
      </c>
      <c r="K115" s="196"/>
      <c r="L115" s="196" t="str">
        <v xml:space="preserve"> 67.15</v>
      </c>
      <c r="M115" s="196"/>
    </row>
    <row r="116" spans="1:13" ht="14.4" x14ac:dyDescent="0.3">
      <c r="A116" s="189" t="str">
        <f ca="1">IFERROR(__xludf.DUMMYFUNCTION("""COMPUTED_VALUE"""),"CB")</f>
        <v>CB</v>
      </c>
      <c r="B116" s="195" t="str">
        <f ca="1">IFERROR(__xludf.DUMMYFUNCTION("""COMPUTED_VALUE"""),"Christopher Neumann")</f>
        <v>Christopher Neumann</v>
      </c>
      <c r="C116" s="189">
        <f ca="1">IFERROR(__xludf.DUMMYFUNCTION("""COMPUTED_VALUE"""),11)</f>
        <v>11</v>
      </c>
      <c r="D116" s="189" t="str">
        <f ca="1">IFERROR(__xludf.DUMMYFUNCTION("""COMPUTED_VALUE"""),"B")</f>
        <v>B</v>
      </c>
      <c r="E116" s="189" t="str">
        <f ca="1">IFERROR(__xludf.DUMMYFUNCTION("""COMPUTED_VALUE"""),"J")</f>
        <v>J</v>
      </c>
      <c r="F116" s="189" t="str">
        <f ca="1">IFERROR(__xludf.DUMMYFUNCTION("""COMPUTED_VALUE"""),"I")</f>
        <v>I</v>
      </c>
      <c r="G116" s="189">
        <f ca="1">IFERROR(__xludf.DUMMYFUNCTION("""COMPUTED_VALUE"""),4)</f>
        <v>4</v>
      </c>
      <c r="H116" s="196" t="s">
        <v>85</v>
      </c>
      <c r="I116" s="196"/>
      <c r="J116" s="196" t="s">
        <v>29</v>
      </c>
      <c r="K116" s="196"/>
      <c r="L116" s="196" t="str">
        <v xml:space="preserve"> 94.25</v>
      </c>
      <c r="M116" s="196"/>
    </row>
    <row r="117" spans="1:13" ht="14.4" x14ac:dyDescent="0.3">
      <c r="A117" s="189" t="str">
        <f ca="1">IFERROR(__xludf.DUMMYFUNCTION("""COMPUTED_VALUE"""),"CB")</f>
        <v>CB</v>
      </c>
      <c r="B117" s="195" t="str">
        <f ca="1">IFERROR(__xludf.DUMMYFUNCTION("""COMPUTED_VALUE"""),"Edison Tan")</f>
        <v>Edison Tan</v>
      </c>
      <c r="C117" s="189">
        <f ca="1">IFERROR(__xludf.DUMMYFUNCTION("""COMPUTED_VALUE"""),12)</f>
        <v>12</v>
      </c>
      <c r="D117" s="189" t="str">
        <f ca="1">IFERROR(__xludf.DUMMYFUNCTION("""COMPUTED_VALUE"""),"B")</f>
        <v>B</v>
      </c>
      <c r="E117" s="189" t="str">
        <f ca="1">IFERROR(__xludf.DUMMYFUNCTION("""COMPUTED_VALUE"""),"J")</f>
        <v>J</v>
      </c>
      <c r="F117" s="189" t="str">
        <f ca="1">IFERROR(__xludf.DUMMYFUNCTION("""COMPUTED_VALUE"""),"I")</f>
        <v>I</v>
      </c>
      <c r="G117" s="189">
        <f ca="1">IFERROR(__xludf.DUMMYFUNCTION("""COMPUTED_VALUE"""),4)</f>
        <v>4</v>
      </c>
      <c r="H117" s="196" t="s">
        <v>86</v>
      </c>
      <c r="I117" s="196"/>
      <c r="J117" s="196" t="s">
        <v>29</v>
      </c>
      <c r="K117" s="196"/>
      <c r="L117" s="196" t="str">
        <v xml:space="preserve"> 88.50</v>
      </c>
      <c r="M117" s="196"/>
    </row>
    <row r="118" spans="1:13" ht="14.4" x14ac:dyDescent="0.3">
      <c r="A118" s="189" t="str">
        <f ca="1">IFERROR(__xludf.DUMMYFUNCTION("""COMPUTED_VALUE"""),"CB")</f>
        <v>CB</v>
      </c>
      <c r="B118" s="195" t="str">
        <f ca="1">IFERROR(__xludf.DUMMYFUNCTION("""COMPUTED_VALUE"""),"Edward Wang")</f>
        <v>Edward Wang</v>
      </c>
      <c r="C118" s="189">
        <f ca="1">IFERROR(__xludf.DUMMYFUNCTION("""COMPUTED_VALUE"""),12)</f>
        <v>12</v>
      </c>
      <c r="D118" s="189" t="str">
        <f ca="1">IFERROR(__xludf.DUMMYFUNCTION("""COMPUTED_VALUE"""),"B")</f>
        <v>B</v>
      </c>
      <c r="E118" s="189" t="str">
        <f ca="1">IFERROR(__xludf.DUMMYFUNCTION("""COMPUTED_VALUE"""),"J")</f>
        <v>J</v>
      </c>
      <c r="F118" s="189" t="str">
        <f ca="1">IFERROR(__xludf.DUMMYFUNCTION("""COMPUTED_VALUE"""),"I")</f>
        <v>I</v>
      </c>
      <c r="G118" s="189">
        <f ca="1">IFERROR(__xludf.DUMMYFUNCTION("""COMPUTED_VALUE"""),4)</f>
        <v>4</v>
      </c>
      <c r="H118" s="196"/>
      <c r="I118" s="196"/>
      <c r="J118" s="196"/>
      <c r="K118" s="196"/>
      <c r="L118" s="196" t="str">
        <v/>
      </c>
      <c r="M118" s="196"/>
    </row>
    <row r="119" spans="1:13" ht="14.4" x14ac:dyDescent="0.3">
      <c r="A119" s="189" t="str">
        <f ca="1">IFERROR(__xludf.DUMMYFUNCTION("""COMPUTED_VALUE"""),"CB")</f>
        <v>CB</v>
      </c>
      <c r="B119" s="195" t="str">
        <f ca="1">IFERROR(__xludf.DUMMYFUNCTION("""COMPUTED_VALUE"""),"Joseph Neumann")</f>
        <v>Joseph Neumann</v>
      </c>
      <c r="C119" s="189">
        <f ca="1">IFERROR(__xludf.DUMMYFUNCTION("""COMPUTED_VALUE"""),11)</f>
        <v>11</v>
      </c>
      <c r="D119" s="189" t="str">
        <f ca="1">IFERROR(__xludf.DUMMYFUNCTION("""COMPUTED_VALUE"""),"B")</f>
        <v>B</v>
      </c>
      <c r="E119" s="189" t="str">
        <f ca="1">IFERROR(__xludf.DUMMYFUNCTION("""COMPUTED_VALUE"""),"J")</f>
        <v>J</v>
      </c>
      <c r="F119" s="189" t="str">
        <f ca="1">IFERROR(__xludf.DUMMYFUNCTION("""COMPUTED_VALUE"""),"I")</f>
        <v>I</v>
      </c>
      <c r="G119" s="189">
        <f ca="1">IFERROR(__xludf.DUMMYFUNCTION("""COMPUTED_VALUE"""),4)</f>
        <v>4</v>
      </c>
      <c r="H119" s="196" t="s">
        <v>87</v>
      </c>
      <c r="I119" s="196"/>
      <c r="J119" s="196" t="s">
        <v>29</v>
      </c>
      <c r="K119" s="196"/>
      <c r="L119" s="196" t="str">
        <v xml:space="preserve"> 77.65</v>
      </c>
      <c r="M119" s="196"/>
    </row>
    <row r="120" spans="1:13" ht="14.4" x14ac:dyDescent="0.3">
      <c r="A120" s="189" t="str">
        <f ca="1">IFERROR(__xludf.DUMMYFUNCTION("""COMPUTED_VALUE"""),"CB")</f>
        <v>CB</v>
      </c>
      <c r="B120" s="195" t="str">
        <f ca="1">IFERROR(__xludf.DUMMYFUNCTION("""COMPUTED_VALUE"""),"Ellie Mallard")</f>
        <v>Ellie Mallard</v>
      </c>
      <c r="C120" s="189">
        <f ca="1">IFERROR(__xludf.DUMMYFUNCTION("""COMPUTED_VALUE"""),16)</f>
        <v>16</v>
      </c>
      <c r="D120" s="189" t="str">
        <f ca="1">IFERROR(__xludf.DUMMYFUNCTION("""COMPUTED_VALUE"""),"G")</f>
        <v>G</v>
      </c>
      <c r="E120" s="189" t="str">
        <f ca="1">IFERROR(__xludf.DUMMYFUNCTION("""COMPUTED_VALUE"""),"S")</f>
        <v>S</v>
      </c>
      <c r="F120" s="189" t="str">
        <f ca="1">IFERROR(__xludf.DUMMYFUNCTION("""COMPUTED_VALUE"""),"S")</f>
        <v>S</v>
      </c>
      <c r="G120" s="189">
        <f ca="1">IFERROR(__xludf.DUMMYFUNCTION("""COMPUTED_VALUE"""),4)</f>
        <v>4</v>
      </c>
      <c r="H120" s="196" t="s">
        <v>88</v>
      </c>
      <c r="I120" s="196"/>
      <c r="J120" s="196" t="s">
        <v>29</v>
      </c>
      <c r="K120" s="196"/>
      <c r="L120" s="196" t="str">
        <v xml:space="preserve"> 124.05</v>
      </c>
      <c r="M120" s="196"/>
    </row>
    <row r="121" spans="1:13" ht="14.4" x14ac:dyDescent="0.3">
      <c r="A121" s="189" t="str">
        <f ca="1">IFERROR(__xludf.DUMMYFUNCTION("""COMPUTED_VALUE"""),"CB")</f>
        <v>CB</v>
      </c>
      <c r="B121" s="195" t="str">
        <f ca="1">IFERROR(__xludf.DUMMYFUNCTION("""COMPUTED_VALUE"""),"Kelly Keough")</f>
        <v>Kelly Keough</v>
      </c>
      <c r="C121" s="189">
        <f ca="1">IFERROR(__xludf.DUMMYFUNCTION("""COMPUTED_VALUE"""),16)</f>
        <v>16</v>
      </c>
      <c r="D121" s="189" t="str">
        <f ca="1">IFERROR(__xludf.DUMMYFUNCTION("""COMPUTED_VALUE"""),"G")</f>
        <v>G</v>
      </c>
      <c r="E121" s="189" t="str">
        <f ca="1">IFERROR(__xludf.DUMMYFUNCTION("""COMPUTED_VALUE"""),"S")</f>
        <v>S</v>
      </c>
      <c r="F121" s="189" t="str">
        <f ca="1">IFERROR(__xludf.DUMMYFUNCTION("""COMPUTED_VALUE"""),"S")</f>
        <v>S</v>
      </c>
      <c r="G121" s="189">
        <f ca="1">IFERROR(__xludf.DUMMYFUNCTION("""COMPUTED_VALUE"""),4)</f>
        <v>4</v>
      </c>
      <c r="H121" s="196"/>
      <c r="I121" s="196"/>
      <c r="J121" s="196"/>
      <c r="K121" s="196"/>
      <c r="L121" s="196" t="str">
        <v/>
      </c>
      <c r="M121" s="196"/>
    </row>
    <row r="122" spans="1:13" ht="14.4" x14ac:dyDescent="0.3">
      <c r="A122" s="189" t="str">
        <f ca="1">IFERROR(__xludf.DUMMYFUNCTION("""COMPUTED_VALUE"""),"CB")</f>
        <v>CB</v>
      </c>
      <c r="B122" s="195" t="str">
        <f ca="1">IFERROR(__xludf.DUMMYFUNCTION("""COMPUTED_VALUE"""),"Sarah Beach")</f>
        <v>Sarah Beach</v>
      </c>
      <c r="C122" s="189">
        <f ca="1">IFERROR(__xludf.DUMMYFUNCTION("""COMPUTED_VALUE"""),17)</f>
        <v>17</v>
      </c>
      <c r="D122" s="189" t="str">
        <f ca="1">IFERROR(__xludf.DUMMYFUNCTION("""COMPUTED_VALUE"""),"G")</f>
        <v>G</v>
      </c>
      <c r="E122" s="189" t="str">
        <f ca="1">IFERROR(__xludf.DUMMYFUNCTION("""COMPUTED_VALUE"""),"S")</f>
        <v>S</v>
      </c>
      <c r="F122" s="189" t="str">
        <f ca="1">IFERROR(__xludf.DUMMYFUNCTION("""COMPUTED_VALUE"""),"S")</f>
        <v>S</v>
      </c>
      <c r="G122" s="189">
        <f ca="1">IFERROR(__xludf.DUMMYFUNCTION("""COMPUTED_VALUE"""),4)</f>
        <v>4</v>
      </c>
      <c r="H122" s="196"/>
      <c r="I122" s="196"/>
      <c r="J122" s="196"/>
      <c r="K122" s="196"/>
      <c r="L122" s="196" t="str">
        <v/>
      </c>
      <c r="M122" s="196"/>
    </row>
    <row r="123" spans="1:13" ht="14.4" x14ac:dyDescent="0.3">
      <c r="A123" s="189" t="str">
        <f ca="1">IFERROR(__xludf.DUMMYFUNCTION("""COMPUTED_VALUE"""),"CB")</f>
        <v>CB</v>
      </c>
      <c r="B123" s="195" t="str">
        <f ca="1">IFERROR(__xludf.DUMMYFUNCTION("""COMPUTED_VALUE"""),"Alex Valencic")</f>
        <v>Alex Valencic</v>
      </c>
      <c r="C123" s="189">
        <f ca="1">IFERROR(__xludf.DUMMYFUNCTION("""COMPUTED_VALUE"""),15)</f>
        <v>15</v>
      </c>
      <c r="D123" s="189" t="str">
        <f ca="1">IFERROR(__xludf.DUMMYFUNCTION("""COMPUTED_VALUE"""),"B")</f>
        <v>B</v>
      </c>
      <c r="E123" s="189" t="str">
        <f ca="1">IFERROR(__xludf.DUMMYFUNCTION("""COMPUTED_VALUE"""),"S")</f>
        <v>S</v>
      </c>
      <c r="F123" s="189" t="str">
        <f ca="1">IFERROR(__xludf.DUMMYFUNCTION("""COMPUTED_VALUE"""),"S")</f>
        <v>S</v>
      </c>
      <c r="G123" s="189">
        <f ca="1">IFERROR(__xludf.DUMMYFUNCTION("""COMPUTED_VALUE"""),4)</f>
        <v>4</v>
      </c>
      <c r="H123" s="196" t="s">
        <v>89</v>
      </c>
      <c r="I123" s="196"/>
      <c r="J123" s="196" t="s">
        <v>29</v>
      </c>
      <c r="K123" s="196"/>
      <c r="L123" s="196" t="str">
        <v xml:space="preserve"> 190.25</v>
      </c>
      <c r="M123" s="196"/>
    </row>
    <row r="124" spans="1:13" ht="14.4" x14ac:dyDescent="0.3">
      <c r="A124" s="189" t="str">
        <f ca="1">IFERROR(__xludf.DUMMYFUNCTION("""COMPUTED_VALUE"""),"CB")</f>
        <v>CB</v>
      </c>
      <c r="B124" s="195" t="str">
        <f ca="1">IFERROR(__xludf.DUMMYFUNCTION("""COMPUTED_VALUE"""),"Daniel Roques")</f>
        <v>Daniel Roques</v>
      </c>
      <c r="C124" s="189">
        <f ca="1">IFERROR(__xludf.DUMMYFUNCTION("""COMPUTED_VALUE"""),15)</f>
        <v>15</v>
      </c>
      <c r="D124" s="189" t="str">
        <f ca="1">IFERROR(__xludf.DUMMYFUNCTION("""COMPUTED_VALUE"""),"B")</f>
        <v>B</v>
      </c>
      <c r="E124" s="189" t="str">
        <f ca="1">IFERROR(__xludf.DUMMYFUNCTION("""COMPUTED_VALUE"""),"S")</f>
        <v>S</v>
      </c>
      <c r="F124" s="189" t="str">
        <f ca="1">IFERROR(__xludf.DUMMYFUNCTION("""COMPUTED_VALUE"""),"S")</f>
        <v>S</v>
      </c>
      <c r="G124" s="189">
        <f ca="1">IFERROR(__xludf.DUMMYFUNCTION("""COMPUTED_VALUE"""),4)</f>
        <v>4</v>
      </c>
      <c r="H124" s="196"/>
      <c r="I124" s="196"/>
      <c r="J124" s="196"/>
      <c r="K124" s="196"/>
      <c r="L124" s="196" t="str">
        <v/>
      </c>
      <c r="M124" s="196"/>
    </row>
    <row r="125" spans="1:13" ht="14.4" x14ac:dyDescent="0.3">
      <c r="A125" s="189" t="str">
        <f ca="1">IFERROR(__xludf.DUMMYFUNCTION("""COMPUTED_VALUE"""),"CCC")</f>
        <v>CCC</v>
      </c>
      <c r="B125" s="195" t="str">
        <f ca="1">IFERROR(__xludf.DUMMYFUNCTION("""COMPUTED_VALUE"""),"Aubrey Chaleunrath")</f>
        <v>Aubrey Chaleunrath</v>
      </c>
      <c r="C125" s="189">
        <f ca="1">IFERROR(__xludf.DUMMYFUNCTION("""COMPUTED_VALUE"""),10)</f>
        <v>10</v>
      </c>
      <c r="D125" s="189" t="str">
        <f ca="1">IFERROR(__xludf.DUMMYFUNCTION("""COMPUTED_VALUE"""),"G")</f>
        <v>G</v>
      </c>
      <c r="E125" s="189" t="str">
        <f ca="1">IFERROR(__xludf.DUMMYFUNCTION("""COMPUTED_VALUE"""),"F")</f>
        <v>F</v>
      </c>
      <c r="F125" s="189" t="str">
        <f ca="1">IFERROR(__xludf.DUMMYFUNCTION("""COMPUTED_VALUE"""),"J")</f>
        <v>J</v>
      </c>
      <c r="G125" s="189">
        <f ca="1">IFERROR(__xludf.DUMMYFUNCTION("""COMPUTED_VALUE"""),5)</f>
        <v>5</v>
      </c>
      <c r="H125" s="196" t="s">
        <v>90</v>
      </c>
      <c r="I125" s="196"/>
      <c r="J125" s="196" t="s">
        <v>29</v>
      </c>
      <c r="K125" s="196"/>
      <c r="L125" s="196" t="str">
        <v xml:space="preserve"> 25.50</v>
      </c>
      <c r="M125" s="196"/>
    </row>
    <row r="126" spans="1:13" ht="14.4" x14ac:dyDescent="0.3">
      <c r="A126" s="189" t="str">
        <f ca="1">IFERROR(__xludf.DUMMYFUNCTION("""COMPUTED_VALUE"""),"CCC")</f>
        <v>CCC</v>
      </c>
      <c r="B126" s="195" t="str">
        <f ca="1">IFERROR(__xludf.DUMMYFUNCTION("""COMPUTED_VALUE"""),"Christina Hopke")</f>
        <v>Christina Hopke</v>
      </c>
      <c r="C126" s="189">
        <f ca="1">IFERROR(__xludf.DUMMYFUNCTION("""COMPUTED_VALUE"""),10)</f>
        <v>10</v>
      </c>
      <c r="D126" s="189" t="str">
        <f ca="1">IFERROR(__xludf.DUMMYFUNCTION("""COMPUTED_VALUE"""),"G")</f>
        <v>G</v>
      </c>
      <c r="E126" s="189" t="str">
        <f ca="1">IFERROR(__xludf.DUMMYFUNCTION("""COMPUTED_VALUE"""),"F")</f>
        <v>F</v>
      </c>
      <c r="F126" s="189" t="str">
        <f ca="1">IFERROR(__xludf.DUMMYFUNCTION("""COMPUTED_VALUE"""),"J")</f>
        <v>J</v>
      </c>
      <c r="G126" s="189">
        <f ca="1">IFERROR(__xludf.DUMMYFUNCTION("""COMPUTED_VALUE"""),5)</f>
        <v>5</v>
      </c>
      <c r="H126" s="196" t="s">
        <v>91</v>
      </c>
      <c r="I126" s="196"/>
      <c r="J126" s="196" t="s">
        <v>29</v>
      </c>
      <c r="K126" s="196"/>
      <c r="L126" s="196" t="str">
        <v xml:space="preserve"> 28.25</v>
      </c>
      <c r="M126" s="196"/>
    </row>
    <row r="127" spans="1:13" ht="14.4" x14ac:dyDescent="0.3">
      <c r="A127" s="189" t="str">
        <f ca="1">IFERROR(__xludf.DUMMYFUNCTION("""COMPUTED_VALUE"""),"CCC")</f>
        <v>CCC</v>
      </c>
      <c r="B127" s="195" t="str">
        <f ca="1">IFERROR(__xludf.DUMMYFUNCTION("""COMPUTED_VALUE"""),"Cora Dugan")</f>
        <v>Cora Dugan</v>
      </c>
      <c r="C127" s="189">
        <f ca="1">IFERROR(__xludf.DUMMYFUNCTION("""COMPUTED_VALUE"""),8)</f>
        <v>8</v>
      </c>
      <c r="D127" s="189" t="str">
        <f ca="1">IFERROR(__xludf.DUMMYFUNCTION("""COMPUTED_VALUE"""),"G")</f>
        <v>G</v>
      </c>
      <c r="E127" s="189" t="str">
        <f ca="1">IFERROR(__xludf.DUMMYFUNCTION("""COMPUTED_VALUE"""),"F")</f>
        <v>F</v>
      </c>
      <c r="F127" s="189" t="str">
        <f ca="1">IFERROR(__xludf.DUMMYFUNCTION("""COMPUTED_VALUE"""),"J")</f>
        <v>J</v>
      </c>
      <c r="G127" s="189">
        <f ca="1">IFERROR(__xludf.DUMMYFUNCTION("""COMPUTED_VALUE"""),5)</f>
        <v>5</v>
      </c>
      <c r="H127" s="196" t="s">
        <v>92</v>
      </c>
      <c r="I127" s="196"/>
      <c r="J127" s="196" t="s">
        <v>29</v>
      </c>
      <c r="K127" s="196"/>
      <c r="L127" s="196" t="str">
        <v xml:space="preserve"> 21.85</v>
      </c>
      <c r="M127" s="196"/>
    </row>
    <row r="128" spans="1:13" ht="14.4" x14ac:dyDescent="0.3">
      <c r="A128" s="189" t="str">
        <f ca="1">IFERROR(__xludf.DUMMYFUNCTION("""COMPUTED_VALUE"""),"CCC")</f>
        <v>CCC</v>
      </c>
      <c r="B128" s="195" t="str">
        <f ca="1">IFERROR(__xludf.DUMMYFUNCTION("""COMPUTED_VALUE"""),"Graciela Padilla")</f>
        <v>Graciela Padilla</v>
      </c>
      <c r="C128" s="189">
        <f ca="1">IFERROR(__xludf.DUMMYFUNCTION("""COMPUTED_VALUE"""),8)</f>
        <v>8</v>
      </c>
      <c r="D128" s="189" t="str">
        <f ca="1">IFERROR(__xludf.DUMMYFUNCTION("""COMPUTED_VALUE"""),"G")</f>
        <v>G</v>
      </c>
      <c r="E128" s="189" t="str">
        <f ca="1">IFERROR(__xludf.DUMMYFUNCTION("""COMPUTED_VALUE"""),"F")</f>
        <v>F</v>
      </c>
      <c r="F128" s="189" t="str">
        <f ca="1">IFERROR(__xludf.DUMMYFUNCTION("""COMPUTED_VALUE"""),"J")</f>
        <v>J</v>
      </c>
      <c r="G128" s="189">
        <f ca="1">IFERROR(__xludf.DUMMYFUNCTION("""COMPUTED_VALUE"""),5)</f>
        <v>5</v>
      </c>
      <c r="H128" s="196" t="s">
        <v>93</v>
      </c>
      <c r="I128" s="196"/>
      <c r="J128" s="196" t="s">
        <v>29</v>
      </c>
      <c r="K128" s="196"/>
      <c r="L128" s="196" t="str">
        <v xml:space="preserve"> 34.10</v>
      </c>
      <c r="M128" s="196"/>
    </row>
    <row r="129" spans="1:13" ht="14.4" x14ac:dyDescent="0.3">
      <c r="A129" s="189" t="str">
        <f ca="1">IFERROR(__xludf.DUMMYFUNCTION("""COMPUTED_VALUE"""),"CCC")</f>
        <v>CCC</v>
      </c>
      <c r="B129" s="195" t="str">
        <f ca="1">IFERROR(__xludf.DUMMYFUNCTION("""COMPUTED_VALUE"""),"Leila Diliberto")</f>
        <v>Leila Diliberto</v>
      </c>
      <c r="C129" s="189">
        <f ca="1">IFERROR(__xludf.DUMMYFUNCTION("""COMPUTED_VALUE"""),9)</f>
        <v>9</v>
      </c>
      <c r="D129" s="189" t="str">
        <f ca="1">IFERROR(__xludf.DUMMYFUNCTION("""COMPUTED_VALUE"""),"G")</f>
        <v>G</v>
      </c>
      <c r="E129" s="189" t="str">
        <f ca="1">IFERROR(__xludf.DUMMYFUNCTION("""COMPUTED_VALUE"""),"F")</f>
        <v>F</v>
      </c>
      <c r="F129" s="189" t="str">
        <f ca="1">IFERROR(__xludf.DUMMYFUNCTION("""COMPUTED_VALUE"""),"J")</f>
        <v>J</v>
      </c>
      <c r="G129" s="189">
        <f ca="1">IFERROR(__xludf.DUMMYFUNCTION("""COMPUTED_VALUE"""),5)</f>
        <v>5</v>
      </c>
      <c r="H129" s="196"/>
      <c r="I129" s="196"/>
      <c r="J129" s="196"/>
      <c r="K129" s="196"/>
      <c r="L129" s="196" t="str">
        <v/>
      </c>
      <c r="M129" s="196"/>
    </row>
    <row r="130" spans="1:13" ht="14.4" x14ac:dyDescent="0.3">
      <c r="A130" s="189" t="str">
        <f ca="1">IFERROR(__xludf.DUMMYFUNCTION("""COMPUTED_VALUE"""),"CCC")</f>
        <v>CCC</v>
      </c>
      <c r="B130" s="195" t="str">
        <f ca="1">IFERROR(__xludf.DUMMYFUNCTION("""COMPUTED_VALUE"""),"Lillian Wade")</f>
        <v>Lillian Wade</v>
      </c>
      <c r="C130" s="189">
        <f ca="1">IFERROR(__xludf.DUMMYFUNCTION("""COMPUTED_VALUE"""),10)</f>
        <v>10</v>
      </c>
      <c r="D130" s="189" t="str">
        <f ca="1">IFERROR(__xludf.DUMMYFUNCTION("""COMPUTED_VALUE"""),"G")</f>
        <v>G</v>
      </c>
      <c r="E130" s="189" t="str">
        <f ca="1">IFERROR(__xludf.DUMMYFUNCTION("""COMPUTED_VALUE"""),"F")</f>
        <v>F</v>
      </c>
      <c r="F130" s="189" t="str">
        <f ca="1">IFERROR(__xludf.DUMMYFUNCTION("""COMPUTED_VALUE"""),"J")</f>
        <v>J</v>
      </c>
      <c r="G130" s="189">
        <f ca="1">IFERROR(__xludf.DUMMYFUNCTION("""COMPUTED_VALUE"""),5)</f>
        <v>5</v>
      </c>
      <c r="H130" s="196" t="s">
        <v>94</v>
      </c>
      <c r="I130" s="196"/>
      <c r="J130" s="196" t="s">
        <v>29</v>
      </c>
      <c r="K130" s="196"/>
      <c r="L130" s="196" t="str">
        <v xml:space="preserve"> 23.75</v>
      </c>
      <c r="M130" s="196"/>
    </row>
    <row r="131" spans="1:13" ht="14.4" x14ac:dyDescent="0.3">
      <c r="A131" s="189" t="str">
        <f ca="1">IFERROR(__xludf.DUMMYFUNCTION("""COMPUTED_VALUE"""),"CCC")</f>
        <v>CCC</v>
      </c>
      <c r="B131" s="195" t="str">
        <f ca="1">IFERROR(__xludf.DUMMYFUNCTION("""COMPUTED_VALUE"""),"Maggie Wahl")</f>
        <v>Maggie Wahl</v>
      </c>
      <c r="C131" s="189">
        <f ca="1">IFERROR(__xludf.DUMMYFUNCTION("""COMPUTED_VALUE"""),10)</f>
        <v>10</v>
      </c>
      <c r="D131" s="189" t="str">
        <f ca="1">IFERROR(__xludf.DUMMYFUNCTION("""COMPUTED_VALUE"""),"G")</f>
        <v>G</v>
      </c>
      <c r="E131" s="189" t="str">
        <f ca="1">IFERROR(__xludf.DUMMYFUNCTION("""COMPUTED_VALUE"""),"F")</f>
        <v>F</v>
      </c>
      <c r="F131" s="189" t="str">
        <f ca="1">IFERROR(__xludf.DUMMYFUNCTION("""COMPUTED_VALUE"""),"J")</f>
        <v>J</v>
      </c>
      <c r="G131" s="189">
        <f ca="1">IFERROR(__xludf.DUMMYFUNCTION("""COMPUTED_VALUE"""),5)</f>
        <v>5</v>
      </c>
      <c r="H131" s="196"/>
      <c r="I131" s="196"/>
      <c r="J131" s="196"/>
      <c r="K131" s="196"/>
      <c r="L131" s="196" t="str">
        <v/>
      </c>
      <c r="M131" s="196"/>
    </row>
    <row r="132" spans="1:13" ht="14.4" x14ac:dyDescent="0.3">
      <c r="A132" s="189" t="str">
        <f ca="1">IFERROR(__xludf.DUMMYFUNCTION("""COMPUTED_VALUE"""),"CCC")</f>
        <v>CCC</v>
      </c>
      <c r="B132" s="195" t="str">
        <f ca="1">IFERROR(__xludf.DUMMYFUNCTION("""COMPUTED_VALUE"""),"Maren Lamkin")</f>
        <v>Maren Lamkin</v>
      </c>
      <c r="C132" s="189">
        <f ca="1">IFERROR(__xludf.DUMMYFUNCTION("""COMPUTED_VALUE"""),10)</f>
        <v>10</v>
      </c>
      <c r="D132" s="189" t="str">
        <f ca="1">IFERROR(__xludf.DUMMYFUNCTION("""COMPUTED_VALUE"""),"G")</f>
        <v>G</v>
      </c>
      <c r="E132" s="189" t="str">
        <f ca="1">IFERROR(__xludf.DUMMYFUNCTION("""COMPUTED_VALUE"""),"F")</f>
        <v>F</v>
      </c>
      <c r="F132" s="189" t="str">
        <f ca="1">IFERROR(__xludf.DUMMYFUNCTION("""COMPUTED_VALUE"""),"J")</f>
        <v>J</v>
      </c>
      <c r="G132" s="189">
        <f ca="1">IFERROR(__xludf.DUMMYFUNCTION("""COMPUTED_VALUE"""),5)</f>
        <v>5</v>
      </c>
      <c r="H132" s="196"/>
      <c r="I132" s="196"/>
      <c r="J132" s="196"/>
      <c r="K132" s="196"/>
      <c r="L132" s="196" t="str">
        <v/>
      </c>
      <c r="M132" s="196"/>
    </row>
    <row r="133" spans="1:13" ht="14.4" x14ac:dyDescent="0.3">
      <c r="A133" s="189" t="str">
        <f ca="1">IFERROR(__xludf.DUMMYFUNCTION("""COMPUTED_VALUE"""),"CCC")</f>
        <v>CCC</v>
      </c>
      <c r="B133" s="195" t="str">
        <f ca="1">IFERROR(__xludf.DUMMYFUNCTION("""COMPUTED_VALUE"""),"Margot Kelley")</f>
        <v>Margot Kelley</v>
      </c>
      <c r="C133" s="189">
        <f ca="1">IFERROR(__xludf.DUMMYFUNCTION("""COMPUTED_VALUE"""),10)</f>
        <v>10</v>
      </c>
      <c r="D133" s="189" t="str">
        <f ca="1">IFERROR(__xludf.DUMMYFUNCTION("""COMPUTED_VALUE"""),"G")</f>
        <v>G</v>
      </c>
      <c r="E133" s="189" t="str">
        <f ca="1">IFERROR(__xludf.DUMMYFUNCTION("""COMPUTED_VALUE"""),"F")</f>
        <v>F</v>
      </c>
      <c r="F133" s="189" t="str">
        <f ca="1">IFERROR(__xludf.DUMMYFUNCTION("""COMPUTED_VALUE"""),"J")</f>
        <v>J</v>
      </c>
      <c r="G133" s="189">
        <f ca="1">IFERROR(__xludf.DUMMYFUNCTION("""COMPUTED_VALUE"""),5)</f>
        <v>5</v>
      </c>
      <c r="H133" s="196"/>
      <c r="I133" s="196"/>
      <c r="J133" s="196"/>
      <c r="K133" s="196"/>
      <c r="L133" s="196" t="str">
        <v/>
      </c>
      <c r="M133" s="196"/>
    </row>
    <row r="134" spans="1:13" ht="14.4" x14ac:dyDescent="0.3">
      <c r="A134" s="189" t="str">
        <f ca="1">IFERROR(__xludf.DUMMYFUNCTION("""COMPUTED_VALUE"""),"CCC")</f>
        <v>CCC</v>
      </c>
      <c r="B134" s="195" t="str">
        <f ca="1">IFERROR(__xludf.DUMMYFUNCTION("""COMPUTED_VALUE"""),"Nora Morgan")</f>
        <v>Nora Morgan</v>
      </c>
      <c r="C134" s="189">
        <f ca="1">IFERROR(__xludf.DUMMYFUNCTION("""COMPUTED_VALUE"""),9)</f>
        <v>9</v>
      </c>
      <c r="D134" s="189" t="str">
        <f ca="1">IFERROR(__xludf.DUMMYFUNCTION("""COMPUTED_VALUE"""),"G")</f>
        <v>G</v>
      </c>
      <c r="E134" s="189" t="str">
        <f ca="1">IFERROR(__xludf.DUMMYFUNCTION("""COMPUTED_VALUE"""),"F")</f>
        <v>F</v>
      </c>
      <c r="F134" s="189" t="str">
        <f ca="1">IFERROR(__xludf.DUMMYFUNCTION("""COMPUTED_VALUE"""),"J")</f>
        <v>J</v>
      </c>
      <c r="G134" s="189">
        <f ca="1">IFERROR(__xludf.DUMMYFUNCTION("""COMPUTED_VALUE"""),5)</f>
        <v>5</v>
      </c>
      <c r="H134" s="196"/>
      <c r="I134" s="196"/>
      <c r="J134" s="196"/>
      <c r="K134" s="196"/>
      <c r="L134" s="196" t="str">
        <v/>
      </c>
      <c r="M134" s="196"/>
    </row>
    <row r="135" spans="1:13" ht="14.4" x14ac:dyDescent="0.3">
      <c r="A135" s="189" t="str">
        <f ca="1">IFERROR(__xludf.DUMMYFUNCTION("""COMPUTED_VALUE"""),"CCC")</f>
        <v>CCC</v>
      </c>
      <c r="B135" s="195" t="str">
        <f ca="1">IFERROR(__xludf.DUMMYFUNCTION("""COMPUTED_VALUE"""),"Olivia Risley")</f>
        <v>Olivia Risley</v>
      </c>
      <c r="C135" s="189">
        <f ca="1">IFERROR(__xludf.DUMMYFUNCTION("""COMPUTED_VALUE"""),10)</f>
        <v>10</v>
      </c>
      <c r="D135" s="189" t="str">
        <f ca="1">IFERROR(__xludf.DUMMYFUNCTION("""COMPUTED_VALUE"""),"G")</f>
        <v>G</v>
      </c>
      <c r="E135" s="189" t="str">
        <f ca="1">IFERROR(__xludf.DUMMYFUNCTION("""COMPUTED_VALUE"""),"F")</f>
        <v>F</v>
      </c>
      <c r="F135" s="189" t="str">
        <f ca="1">IFERROR(__xludf.DUMMYFUNCTION("""COMPUTED_VALUE"""),"J")</f>
        <v>J</v>
      </c>
      <c r="G135" s="189">
        <f ca="1">IFERROR(__xludf.DUMMYFUNCTION("""COMPUTED_VALUE"""),5)</f>
        <v>5</v>
      </c>
      <c r="H135" s="196" t="s">
        <v>95</v>
      </c>
      <c r="I135" s="196"/>
      <c r="J135" s="196" t="s">
        <v>29</v>
      </c>
      <c r="K135" s="196"/>
      <c r="L135" s="196" t="str">
        <v xml:space="preserve"> 32.70</v>
      </c>
      <c r="M135" s="196"/>
    </row>
    <row r="136" spans="1:13" ht="14.4" x14ac:dyDescent="0.3">
      <c r="A136" s="189" t="str">
        <f ca="1">IFERROR(__xludf.DUMMYFUNCTION("""COMPUTED_VALUE"""),"CCC")</f>
        <v>CCC</v>
      </c>
      <c r="B136" s="195" t="str">
        <f ca="1">IFERROR(__xludf.DUMMYFUNCTION("""COMPUTED_VALUE"""),"Olivia Verdi")</f>
        <v>Olivia Verdi</v>
      </c>
      <c r="C136" s="189">
        <f ca="1">IFERROR(__xludf.DUMMYFUNCTION("""COMPUTED_VALUE"""),10)</f>
        <v>10</v>
      </c>
      <c r="D136" s="189" t="str">
        <f ca="1">IFERROR(__xludf.DUMMYFUNCTION("""COMPUTED_VALUE"""),"G")</f>
        <v>G</v>
      </c>
      <c r="E136" s="189" t="str">
        <f ca="1">IFERROR(__xludf.DUMMYFUNCTION("""COMPUTED_VALUE"""),"F")</f>
        <v>F</v>
      </c>
      <c r="F136" s="189" t="str">
        <f ca="1">IFERROR(__xludf.DUMMYFUNCTION("""COMPUTED_VALUE"""),"J")</f>
        <v>J</v>
      </c>
      <c r="G136" s="189">
        <f ca="1">IFERROR(__xludf.DUMMYFUNCTION("""COMPUTED_VALUE"""),5)</f>
        <v>5</v>
      </c>
      <c r="H136" s="196"/>
      <c r="I136" s="196"/>
      <c r="J136" s="196"/>
      <c r="K136" s="196"/>
      <c r="L136" s="196" t="str">
        <v/>
      </c>
      <c r="M136" s="196"/>
    </row>
    <row r="137" spans="1:13" ht="14.4" x14ac:dyDescent="0.3">
      <c r="A137" s="189" t="str">
        <f ca="1">IFERROR(__xludf.DUMMYFUNCTION("""COMPUTED_VALUE"""),"CCC")</f>
        <v>CCC</v>
      </c>
      <c r="B137" s="195" t="str">
        <f ca="1">IFERROR(__xludf.DUMMYFUNCTION("""COMPUTED_VALUE"""),"Sara Curry-Briggs")</f>
        <v>Sara Curry-Briggs</v>
      </c>
      <c r="C137" s="189">
        <f ca="1">IFERROR(__xludf.DUMMYFUNCTION("""COMPUTED_VALUE"""),10)</f>
        <v>10</v>
      </c>
      <c r="D137" s="189" t="str">
        <f ca="1">IFERROR(__xludf.DUMMYFUNCTION("""COMPUTED_VALUE"""),"G")</f>
        <v>G</v>
      </c>
      <c r="E137" s="189" t="str">
        <f ca="1">IFERROR(__xludf.DUMMYFUNCTION("""COMPUTED_VALUE"""),"F")</f>
        <v>F</v>
      </c>
      <c r="F137" s="189" t="str">
        <f ca="1">IFERROR(__xludf.DUMMYFUNCTION("""COMPUTED_VALUE"""),"J")</f>
        <v>J</v>
      </c>
      <c r="G137" s="189">
        <f ca="1">IFERROR(__xludf.DUMMYFUNCTION("""COMPUTED_VALUE"""),5)</f>
        <v>5</v>
      </c>
      <c r="H137" s="196" t="s">
        <v>96</v>
      </c>
      <c r="I137" s="196"/>
      <c r="J137" s="196" t="s">
        <v>29</v>
      </c>
      <c r="K137" s="196"/>
      <c r="L137" s="196" t="str">
        <v xml:space="preserve"> 57.95</v>
      </c>
      <c r="M137" s="196"/>
    </row>
    <row r="138" spans="1:13" ht="14.4" x14ac:dyDescent="0.3">
      <c r="A138" s="189" t="str">
        <f ca="1">IFERROR(__xludf.DUMMYFUNCTION("""COMPUTED_VALUE"""),"CCC")</f>
        <v>CCC</v>
      </c>
      <c r="B138" s="195" t="str">
        <f ca="1">IFERROR(__xludf.DUMMYFUNCTION("""COMPUTED_VALUE"""),"Teagan Williams")</f>
        <v>Teagan Williams</v>
      </c>
      <c r="C138" s="189">
        <f ca="1">IFERROR(__xludf.DUMMYFUNCTION("""COMPUTED_VALUE"""),9)</f>
        <v>9</v>
      </c>
      <c r="D138" s="189" t="str">
        <f ca="1">IFERROR(__xludf.DUMMYFUNCTION("""COMPUTED_VALUE"""),"G")</f>
        <v>G</v>
      </c>
      <c r="E138" s="189" t="str">
        <f ca="1">IFERROR(__xludf.DUMMYFUNCTION("""COMPUTED_VALUE"""),"F")</f>
        <v>F</v>
      </c>
      <c r="F138" s="189" t="str">
        <f ca="1">IFERROR(__xludf.DUMMYFUNCTION("""COMPUTED_VALUE"""),"J")</f>
        <v>J</v>
      </c>
      <c r="G138" s="189">
        <f ca="1">IFERROR(__xludf.DUMMYFUNCTION("""COMPUTED_VALUE"""),5)</f>
        <v>5</v>
      </c>
      <c r="H138" s="196" t="s">
        <v>97</v>
      </c>
      <c r="I138" s="196"/>
      <c r="J138" s="196" t="s">
        <v>29</v>
      </c>
      <c r="K138" s="196"/>
      <c r="L138" s="196" t="str">
        <v xml:space="preserve"> 14.75</v>
      </c>
      <c r="M138" s="196"/>
    </row>
    <row r="139" spans="1:13" ht="14.4" x14ac:dyDescent="0.3">
      <c r="A139" s="189" t="str">
        <f ca="1">IFERROR(__xludf.DUMMYFUNCTION("""COMPUTED_VALUE"""),"CCC")</f>
        <v>CCC</v>
      </c>
      <c r="B139" s="195" t="str">
        <f ca="1">IFERROR(__xludf.DUMMYFUNCTION("""COMPUTED_VALUE"""),"Vidya Bharathan")</f>
        <v>Vidya Bharathan</v>
      </c>
      <c r="C139" s="189">
        <f ca="1">IFERROR(__xludf.DUMMYFUNCTION("""COMPUTED_VALUE"""),8)</f>
        <v>8</v>
      </c>
      <c r="D139" s="189" t="str">
        <f ca="1">IFERROR(__xludf.DUMMYFUNCTION("""COMPUTED_VALUE"""),"G")</f>
        <v>G</v>
      </c>
      <c r="E139" s="189" t="str">
        <f ca="1">IFERROR(__xludf.DUMMYFUNCTION("""COMPUTED_VALUE"""),"F")</f>
        <v>F</v>
      </c>
      <c r="F139" s="189" t="str">
        <f ca="1">IFERROR(__xludf.DUMMYFUNCTION("""COMPUTED_VALUE"""),"J")</f>
        <v>J</v>
      </c>
      <c r="G139" s="189">
        <f ca="1">IFERROR(__xludf.DUMMYFUNCTION("""COMPUTED_VALUE"""),5)</f>
        <v>5</v>
      </c>
      <c r="H139" s="196" t="s">
        <v>98</v>
      </c>
      <c r="I139" s="196"/>
      <c r="J139" s="196" t="s">
        <v>29</v>
      </c>
      <c r="K139" s="196"/>
      <c r="L139" s="196" t="str">
        <v xml:space="preserve"> 43.95</v>
      </c>
      <c r="M139" s="196"/>
    </row>
    <row r="140" spans="1:13" ht="14.4" x14ac:dyDescent="0.3">
      <c r="A140" s="189" t="str">
        <f ca="1">IFERROR(__xludf.DUMMYFUNCTION("""COMPUTED_VALUE"""),"CCC")</f>
        <v>CCC</v>
      </c>
      <c r="B140" s="195" t="str">
        <f ca="1">IFERROR(__xludf.DUMMYFUNCTION("""COMPUTED_VALUE"""),"Winnie Dugan")</f>
        <v>Winnie Dugan</v>
      </c>
      <c r="C140" s="189">
        <f ca="1">IFERROR(__xludf.DUMMYFUNCTION("""COMPUTED_VALUE"""),10)</f>
        <v>10</v>
      </c>
      <c r="D140" s="189" t="str">
        <f ca="1">IFERROR(__xludf.DUMMYFUNCTION("""COMPUTED_VALUE"""),"G")</f>
        <v>G</v>
      </c>
      <c r="E140" s="189" t="str">
        <f ca="1">IFERROR(__xludf.DUMMYFUNCTION("""COMPUTED_VALUE"""),"F")</f>
        <v>F</v>
      </c>
      <c r="F140" s="189" t="str">
        <f ca="1">IFERROR(__xludf.DUMMYFUNCTION("""COMPUTED_VALUE"""),"J")</f>
        <v>J</v>
      </c>
      <c r="G140" s="189">
        <f ca="1">IFERROR(__xludf.DUMMYFUNCTION("""COMPUTED_VALUE"""),5)</f>
        <v>5</v>
      </c>
      <c r="H140" s="196"/>
      <c r="I140" s="196"/>
      <c r="J140" s="196"/>
      <c r="K140" s="196"/>
      <c r="L140" s="196" t="str">
        <v/>
      </c>
      <c r="M140" s="196"/>
    </row>
    <row r="141" spans="1:13" ht="14.4" x14ac:dyDescent="0.3">
      <c r="A141" s="189" t="str">
        <f ca="1">IFERROR(__xludf.DUMMYFUNCTION("""COMPUTED_VALUE"""),"CCC")</f>
        <v>CCC</v>
      </c>
      <c r="B141" s="195" t="str">
        <f ca="1">IFERROR(__xludf.DUMMYFUNCTION("""COMPUTED_VALUE"""),"Bode Lamkin")</f>
        <v>Bode Lamkin</v>
      </c>
      <c r="C141" s="189">
        <f ca="1">IFERROR(__xludf.DUMMYFUNCTION("""COMPUTED_VALUE"""),6)</f>
        <v>6</v>
      </c>
      <c r="D141" s="189" t="str">
        <f ca="1">IFERROR(__xludf.DUMMYFUNCTION("""COMPUTED_VALUE"""),"B")</f>
        <v>B</v>
      </c>
      <c r="E141" s="189" t="str">
        <f ca="1">IFERROR(__xludf.DUMMYFUNCTION("""COMPUTED_VALUE"""),"F")</f>
        <v>F</v>
      </c>
      <c r="F141" s="189" t="str">
        <f ca="1">IFERROR(__xludf.DUMMYFUNCTION("""COMPUTED_VALUE"""),"J")</f>
        <v>J</v>
      </c>
      <c r="G141" s="189">
        <f ca="1">IFERROR(__xludf.DUMMYFUNCTION("""COMPUTED_VALUE"""),5)</f>
        <v>5</v>
      </c>
      <c r="H141" s="196"/>
      <c r="I141" s="196"/>
      <c r="J141" s="196"/>
      <c r="K141" s="196"/>
      <c r="L141" s="196" t="str">
        <v/>
      </c>
      <c r="M141" s="196"/>
    </row>
    <row r="142" spans="1:13" ht="14.4" x14ac:dyDescent="0.3">
      <c r="A142" s="189" t="str">
        <f ca="1">IFERROR(__xludf.DUMMYFUNCTION("""COMPUTED_VALUE"""),"CCC")</f>
        <v>CCC</v>
      </c>
      <c r="B142" s="195" t="str">
        <f ca="1">IFERROR(__xludf.DUMMYFUNCTION("""COMPUTED_VALUE"""),"Jackson Beall")</f>
        <v>Jackson Beall</v>
      </c>
      <c r="C142" s="189">
        <f ca="1">IFERROR(__xludf.DUMMYFUNCTION("""COMPUTED_VALUE"""),10)</f>
        <v>10</v>
      </c>
      <c r="D142" s="189" t="str">
        <f ca="1">IFERROR(__xludf.DUMMYFUNCTION("""COMPUTED_VALUE"""),"B")</f>
        <v>B</v>
      </c>
      <c r="E142" s="189" t="str">
        <f ca="1">IFERROR(__xludf.DUMMYFUNCTION("""COMPUTED_VALUE"""),"F")</f>
        <v>F</v>
      </c>
      <c r="F142" s="189" t="str">
        <f ca="1">IFERROR(__xludf.DUMMYFUNCTION("""COMPUTED_VALUE"""),"J")</f>
        <v>J</v>
      </c>
      <c r="G142" s="189">
        <f ca="1">IFERROR(__xludf.DUMMYFUNCTION("""COMPUTED_VALUE"""),5)</f>
        <v>5</v>
      </c>
      <c r="H142" s="196"/>
      <c r="I142" s="196"/>
      <c r="J142" s="196"/>
      <c r="K142" s="196"/>
      <c r="L142" s="196" t="str">
        <v/>
      </c>
      <c r="M142" s="196"/>
    </row>
    <row r="143" spans="1:13" ht="14.4" x14ac:dyDescent="0.3">
      <c r="A143" s="189" t="str">
        <f ca="1">IFERROR(__xludf.DUMMYFUNCTION("""COMPUTED_VALUE"""),"CCC")</f>
        <v>CCC</v>
      </c>
      <c r="B143" s="195" t="str">
        <f ca="1">IFERROR(__xludf.DUMMYFUNCTION("""COMPUTED_VALUE"""),"Rhys Willet")</f>
        <v>Rhys Willet</v>
      </c>
      <c r="C143" s="189">
        <f ca="1">IFERROR(__xludf.DUMMYFUNCTION("""COMPUTED_VALUE"""),10)</f>
        <v>10</v>
      </c>
      <c r="D143" s="189" t="str">
        <f ca="1">IFERROR(__xludf.DUMMYFUNCTION("""COMPUTED_VALUE"""),"B")</f>
        <v>B</v>
      </c>
      <c r="E143" s="189" t="str">
        <f ca="1">IFERROR(__xludf.DUMMYFUNCTION("""COMPUTED_VALUE"""),"F")</f>
        <v>F</v>
      </c>
      <c r="F143" s="189" t="str">
        <f ca="1">IFERROR(__xludf.DUMMYFUNCTION("""COMPUTED_VALUE"""),"J")</f>
        <v>J</v>
      </c>
      <c r="G143" s="189">
        <f ca="1">IFERROR(__xludf.DUMMYFUNCTION("""COMPUTED_VALUE"""),5)</f>
        <v>5</v>
      </c>
      <c r="H143" s="196"/>
      <c r="I143" s="196"/>
      <c r="J143" s="196"/>
      <c r="K143" s="196"/>
      <c r="L143" s="196" t="str">
        <v/>
      </c>
      <c r="M143" s="196"/>
    </row>
    <row r="144" spans="1:13" ht="14.4" x14ac:dyDescent="0.3">
      <c r="A144" s="189" t="str">
        <f ca="1">IFERROR(__xludf.DUMMYFUNCTION("""COMPUTED_VALUE"""),"CCC")</f>
        <v>CCC</v>
      </c>
      <c r="B144" s="195" t="str">
        <f ca="1">IFERROR(__xludf.DUMMYFUNCTION("""COMPUTED_VALUE"""),"CC Wilson")</f>
        <v>CC Wilson</v>
      </c>
      <c r="C144" s="189">
        <f ca="1">IFERROR(__xludf.DUMMYFUNCTION("""COMPUTED_VALUE"""),14)</f>
        <v>14</v>
      </c>
      <c r="D144" s="189" t="str">
        <f ca="1">IFERROR(__xludf.DUMMYFUNCTION("""COMPUTED_VALUE"""),"G")</f>
        <v>G</v>
      </c>
      <c r="E144" s="189" t="str">
        <f ca="1">IFERROR(__xludf.DUMMYFUNCTION("""COMPUTED_VALUE"""),"I")</f>
        <v>I</v>
      </c>
      <c r="F144" s="189" t="str">
        <f ca="1">IFERROR(__xludf.DUMMYFUNCTION("""COMPUTED_VALUE"""),"S")</f>
        <v>S</v>
      </c>
      <c r="G144" s="189">
        <f ca="1">IFERROR(__xludf.DUMMYFUNCTION("""COMPUTED_VALUE"""),5)</f>
        <v>5</v>
      </c>
      <c r="H144" s="196" t="s">
        <v>99</v>
      </c>
      <c r="I144" s="196"/>
      <c r="J144" s="196" t="s">
        <v>29</v>
      </c>
      <c r="K144" s="196"/>
      <c r="L144" s="196" t="str">
        <v xml:space="preserve"> 130.45</v>
      </c>
      <c r="M144" s="196"/>
    </row>
    <row r="145" spans="1:13" ht="14.4" x14ac:dyDescent="0.3">
      <c r="A145" s="189" t="str">
        <f ca="1">IFERROR(__xludf.DUMMYFUNCTION("""COMPUTED_VALUE"""),"CCC")</f>
        <v>CCC</v>
      </c>
      <c r="B145" s="195" t="str">
        <f ca="1">IFERROR(__xludf.DUMMYFUNCTION("""COMPUTED_VALUE"""),"Nate Southworth")</f>
        <v>Nate Southworth</v>
      </c>
      <c r="C145" s="189">
        <f ca="1">IFERROR(__xludf.DUMMYFUNCTION("""COMPUTED_VALUE"""),14)</f>
        <v>14</v>
      </c>
      <c r="D145" s="189" t="str">
        <f ca="1">IFERROR(__xludf.DUMMYFUNCTION("""COMPUTED_VALUE"""),"B")</f>
        <v>B</v>
      </c>
      <c r="E145" s="189" t="str">
        <f ca="1">IFERROR(__xludf.DUMMYFUNCTION("""COMPUTED_VALUE"""),"I")</f>
        <v>I</v>
      </c>
      <c r="F145" s="189" t="str">
        <f ca="1">IFERROR(__xludf.DUMMYFUNCTION("""COMPUTED_VALUE"""),"S")</f>
        <v>S</v>
      </c>
      <c r="G145" s="189">
        <f ca="1">IFERROR(__xludf.DUMMYFUNCTION("""COMPUTED_VALUE"""),5)</f>
        <v>5</v>
      </c>
      <c r="H145" s="196" t="s">
        <v>100</v>
      </c>
      <c r="I145" s="196"/>
      <c r="J145" s="196" t="s">
        <v>29</v>
      </c>
      <c r="K145" s="196"/>
      <c r="L145" s="196" t="str">
        <v xml:space="preserve"> 118.95</v>
      </c>
      <c r="M145" s="196"/>
    </row>
    <row r="146" spans="1:13" ht="14.4" x14ac:dyDescent="0.3">
      <c r="A146" s="189" t="str">
        <f ca="1">IFERROR(__xludf.DUMMYFUNCTION("""COMPUTED_VALUE"""),"CCC")</f>
        <v>CCC</v>
      </c>
      <c r="B146" s="195" t="str">
        <f ca="1">IFERROR(__xludf.DUMMYFUNCTION("""COMPUTED_VALUE"""),"Divya Bharathan")</f>
        <v>Divya Bharathan</v>
      </c>
      <c r="C146" s="189">
        <f ca="1">IFERROR(__xludf.DUMMYFUNCTION("""COMPUTED_VALUE"""),11)</f>
        <v>11</v>
      </c>
      <c r="D146" s="189" t="str">
        <f ca="1">IFERROR(__xludf.DUMMYFUNCTION("""COMPUTED_VALUE"""),"G")</f>
        <v>G</v>
      </c>
      <c r="E146" s="189" t="str">
        <f ca="1">IFERROR(__xludf.DUMMYFUNCTION("""COMPUTED_VALUE"""),"J")</f>
        <v>J</v>
      </c>
      <c r="F146" s="189" t="str">
        <f ca="1">IFERROR(__xludf.DUMMYFUNCTION("""COMPUTED_VALUE"""),"I")</f>
        <v>I</v>
      </c>
      <c r="G146" s="189">
        <f ca="1">IFERROR(__xludf.DUMMYFUNCTION("""COMPUTED_VALUE"""),5)</f>
        <v>5</v>
      </c>
      <c r="H146" s="196"/>
      <c r="I146" s="196"/>
      <c r="J146" s="196"/>
      <c r="K146" s="196"/>
      <c r="L146" s="196" t="str">
        <v/>
      </c>
      <c r="M146" s="196"/>
    </row>
    <row r="147" spans="1:13" ht="14.4" x14ac:dyDescent="0.3">
      <c r="A147" s="189" t="str">
        <f ca="1">IFERROR(__xludf.DUMMYFUNCTION("""COMPUTED_VALUE"""),"CCC")</f>
        <v>CCC</v>
      </c>
      <c r="B147" s="195" t="str">
        <f ca="1">IFERROR(__xludf.DUMMYFUNCTION("""COMPUTED_VALUE"""),"Colin Wilson")</f>
        <v>Colin Wilson</v>
      </c>
      <c r="C147" s="189">
        <f ca="1">IFERROR(__xludf.DUMMYFUNCTION("""COMPUTED_VALUE"""),11)</f>
        <v>11</v>
      </c>
      <c r="D147" s="189" t="str">
        <f ca="1">IFERROR(__xludf.DUMMYFUNCTION("""COMPUTED_VALUE"""),"B")</f>
        <v>B</v>
      </c>
      <c r="E147" s="189" t="str">
        <f ca="1">IFERROR(__xludf.DUMMYFUNCTION("""COMPUTED_VALUE"""),"J")</f>
        <v>J</v>
      </c>
      <c r="F147" s="189" t="str">
        <f ca="1">IFERROR(__xludf.DUMMYFUNCTION("""COMPUTED_VALUE"""),"I")</f>
        <v>I</v>
      </c>
      <c r="G147" s="189">
        <f ca="1">IFERROR(__xludf.DUMMYFUNCTION("""COMPUTED_VALUE"""),5)</f>
        <v>5</v>
      </c>
      <c r="H147" s="196" t="s">
        <v>101</v>
      </c>
      <c r="I147" s="196"/>
      <c r="J147" s="196" t="s">
        <v>29</v>
      </c>
      <c r="K147" s="196"/>
      <c r="L147" s="196" t="str">
        <v xml:space="preserve"> 100.60</v>
      </c>
      <c r="M147" s="196"/>
    </row>
    <row r="148" spans="1:13" ht="14.4" x14ac:dyDescent="0.3">
      <c r="A148" s="189" t="str">
        <f ca="1">IFERROR(__xludf.DUMMYFUNCTION("""COMPUTED_VALUE"""),"CCC")</f>
        <v>CCC</v>
      </c>
      <c r="B148" s="195" t="str">
        <f ca="1">IFERROR(__xludf.DUMMYFUNCTION("""COMPUTED_VALUE"""),"Drew Southworth")</f>
        <v>Drew Southworth</v>
      </c>
      <c r="C148" s="189">
        <f ca="1">IFERROR(__xludf.DUMMYFUNCTION("""COMPUTED_VALUE"""),12)</f>
        <v>12</v>
      </c>
      <c r="D148" s="189" t="str">
        <f ca="1">IFERROR(__xludf.DUMMYFUNCTION("""COMPUTED_VALUE"""),"B")</f>
        <v>B</v>
      </c>
      <c r="E148" s="189" t="str">
        <f ca="1">IFERROR(__xludf.DUMMYFUNCTION("""COMPUTED_VALUE"""),"J")</f>
        <v>J</v>
      </c>
      <c r="F148" s="189" t="str">
        <f ca="1">IFERROR(__xludf.DUMMYFUNCTION("""COMPUTED_VALUE"""),"I")</f>
        <v>I</v>
      </c>
      <c r="G148" s="189">
        <f ca="1">IFERROR(__xludf.DUMMYFUNCTION("""COMPUTED_VALUE"""),5)</f>
        <v>5</v>
      </c>
      <c r="H148" s="196" t="s">
        <v>102</v>
      </c>
      <c r="I148" s="196"/>
      <c r="J148" s="196" t="s">
        <v>29</v>
      </c>
      <c r="K148" s="196"/>
      <c r="L148" s="196" t="str">
        <v xml:space="preserve"> 66.80</v>
      </c>
      <c r="M148" s="196"/>
    </row>
    <row r="149" spans="1:13" ht="14.4" x14ac:dyDescent="0.3">
      <c r="A149" s="189" t="str">
        <f ca="1">IFERROR(__xludf.DUMMYFUNCTION("""COMPUTED_VALUE"""),"CCC")</f>
        <v>CCC</v>
      </c>
      <c r="B149" s="195" t="str">
        <f ca="1">IFERROR(__xludf.DUMMYFUNCTION("""COMPUTED_VALUE"""),"Graysen Loftis")</f>
        <v>Graysen Loftis</v>
      </c>
      <c r="C149" s="189">
        <f ca="1">IFERROR(__xludf.DUMMYFUNCTION("""COMPUTED_VALUE"""),11)</f>
        <v>11</v>
      </c>
      <c r="D149" s="189" t="str">
        <f ca="1">IFERROR(__xludf.DUMMYFUNCTION("""COMPUTED_VALUE"""),"B")</f>
        <v>B</v>
      </c>
      <c r="E149" s="189" t="str">
        <f ca="1">IFERROR(__xludf.DUMMYFUNCTION("""COMPUTED_VALUE"""),"J")</f>
        <v>J</v>
      </c>
      <c r="F149" s="189" t="str">
        <f ca="1">IFERROR(__xludf.DUMMYFUNCTION("""COMPUTED_VALUE"""),"I")</f>
        <v>I</v>
      </c>
      <c r="G149" s="189">
        <f ca="1">IFERROR(__xludf.DUMMYFUNCTION("""COMPUTED_VALUE"""),5)</f>
        <v>5</v>
      </c>
      <c r="H149" s="196" t="s">
        <v>103</v>
      </c>
      <c r="I149" s="196"/>
      <c r="J149" s="196" t="s">
        <v>64</v>
      </c>
      <c r="K149" s="196"/>
      <c r="L149" s="196" t="str">
        <v xml:space="preserve"> -107.40</v>
      </c>
      <c r="M149" s="196"/>
    </row>
    <row r="150" spans="1:13" ht="14.4" x14ac:dyDescent="0.3">
      <c r="A150" s="189" t="str">
        <f ca="1">IFERROR(__xludf.DUMMYFUNCTION("""COMPUTED_VALUE"""),"CCC")</f>
        <v>CCC</v>
      </c>
      <c r="B150" s="195" t="str">
        <f ca="1">IFERROR(__xludf.DUMMYFUNCTION("""COMPUTED_VALUE"""),"Josh Themely")</f>
        <v>Josh Themely</v>
      </c>
      <c r="C150" s="189">
        <f ca="1">IFERROR(__xludf.DUMMYFUNCTION("""COMPUTED_VALUE"""),12)</f>
        <v>12</v>
      </c>
      <c r="D150" s="189" t="str">
        <f ca="1">IFERROR(__xludf.DUMMYFUNCTION("""COMPUTED_VALUE"""),"B")</f>
        <v>B</v>
      </c>
      <c r="E150" s="189" t="str">
        <f ca="1">IFERROR(__xludf.DUMMYFUNCTION("""COMPUTED_VALUE"""),"J")</f>
        <v>J</v>
      </c>
      <c r="F150" s="189" t="str">
        <f ca="1">IFERROR(__xludf.DUMMYFUNCTION("""COMPUTED_VALUE"""),"I")</f>
        <v>I</v>
      </c>
      <c r="G150" s="189">
        <f ca="1">IFERROR(__xludf.DUMMYFUNCTION("""COMPUTED_VALUE"""),5)</f>
        <v>5</v>
      </c>
      <c r="H150" s="196" t="s">
        <v>43</v>
      </c>
      <c r="I150" s="196"/>
      <c r="J150" s="196" t="s">
        <v>29</v>
      </c>
      <c r="K150" s="196"/>
      <c r="L150" s="196" t="str">
        <v xml:space="preserve"> 76.85</v>
      </c>
      <c r="M150" s="196"/>
    </row>
    <row r="151" spans="1:13" ht="14.4" x14ac:dyDescent="0.3">
      <c r="A151" s="189" t="str">
        <f ca="1">IFERROR(__xludf.DUMMYFUNCTION("""COMPUTED_VALUE"""),"CCC")</f>
        <v>CCC</v>
      </c>
      <c r="B151" s="195" t="str">
        <f ca="1">IFERROR(__xludf.DUMMYFUNCTION("""COMPUTED_VALUE"""),"Maia McAllister")</f>
        <v>Maia McAllister</v>
      </c>
      <c r="C151" s="189">
        <f ca="1">IFERROR(__xludf.DUMMYFUNCTION("""COMPUTED_VALUE"""),16)</f>
        <v>16</v>
      </c>
      <c r="D151" s="189" t="str">
        <f ca="1">IFERROR(__xludf.DUMMYFUNCTION("""COMPUTED_VALUE"""),"G")</f>
        <v>G</v>
      </c>
      <c r="E151" s="189" t="str">
        <f ca="1">IFERROR(__xludf.DUMMYFUNCTION("""COMPUTED_VALUE"""),"S")</f>
        <v>S</v>
      </c>
      <c r="F151" s="189" t="str">
        <f ca="1">IFERROR(__xludf.DUMMYFUNCTION("""COMPUTED_VALUE"""),"S")</f>
        <v>S</v>
      </c>
      <c r="G151" s="189">
        <f ca="1">IFERROR(__xludf.DUMMYFUNCTION("""COMPUTED_VALUE"""),5)</f>
        <v>5</v>
      </c>
      <c r="H151" s="196" t="s">
        <v>104</v>
      </c>
      <c r="I151" s="196"/>
      <c r="J151" s="196" t="s">
        <v>29</v>
      </c>
      <c r="K151" s="196"/>
      <c r="L151" s="196" t="str">
        <v xml:space="preserve"> 164.85</v>
      </c>
      <c r="M151" s="196"/>
    </row>
    <row r="152" spans="1:13" ht="14.4" x14ac:dyDescent="0.3">
      <c r="A152" s="189" t="str">
        <f ca="1">IFERROR(__xludf.DUMMYFUNCTION("""COMPUTED_VALUE"""),"CCC")</f>
        <v>CCC</v>
      </c>
      <c r="B152" s="195" t="str">
        <f ca="1">IFERROR(__xludf.DUMMYFUNCTION("""COMPUTED_VALUE"""),"Jake Themely")</f>
        <v>Jake Themely</v>
      </c>
      <c r="C152" s="189">
        <f ca="1">IFERROR(__xludf.DUMMYFUNCTION("""COMPUTED_VALUE"""),15)</f>
        <v>15</v>
      </c>
      <c r="D152" s="189" t="str">
        <f ca="1">IFERROR(__xludf.DUMMYFUNCTION("""COMPUTED_VALUE"""),"B")</f>
        <v>B</v>
      </c>
      <c r="E152" s="189" t="str">
        <f ca="1">IFERROR(__xludf.DUMMYFUNCTION("""COMPUTED_VALUE"""),"S")</f>
        <v>S</v>
      </c>
      <c r="F152" s="189" t="str">
        <f ca="1">IFERROR(__xludf.DUMMYFUNCTION("""COMPUTED_VALUE"""),"S")</f>
        <v>S</v>
      </c>
      <c r="G152" s="189">
        <f ca="1">IFERROR(__xludf.DUMMYFUNCTION("""COMPUTED_VALUE"""),5)</f>
        <v>5</v>
      </c>
      <c r="H152" s="196" t="s">
        <v>105</v>
      </c>
      <c r="I152" s="196"/>
      <c r="J152" s="196" t="s">
        <v>29</v>
      </c>
      <c r="K152" s="196"/>
      <c r="L152" s="196" t="str">
        <v xml:space="preserve"> 169.85</v>
      </c>
      <c r="M152" s="196"/>
    </row>
    <row r="153" spans="1:13" ht="14.4" x14ac:dyDescent="0.3">
      <c r="A153" s="189" t="str">
        <f ca="1">IFERROR(__xludf.DUMMYFUNCTION("""COMPUTED_VALUE"""),"CCC")</f>
        <v>CCC</v>
      </c>
      <c r="B153" s="195" t="str">
        <f ca="1">IFERROR(__xludf.DUMMYFUNCTION("""COMPUTED_VALUE"""),"Ryan Wells")</f>
        <v>Ryan Wells</v>
      </c>
      <c r="C153" s="189">
        <f ca="1">IFERROR(__xludf.DUMMYFUNCTION("""COMPUTED_VALUE"""),16)</f>
        <v>16</v>
      </c>
      <c r="D153" s="189" t="str">
        <f ca="1">IFERROR(__xludf.DUMMYFUNCTION("""COMPUTED_VALUE"""),"B")</f>
        <v>B</v>
      </c>
      <c r="E153" s="189" t="str">
        <f ca="1">IFERROR(__xludf.DUMMYFUNCTION("""COMPUTED_VALUE"""),"S")</f>
        <v>S</v>
      </c>
      <c r="F153" s="189" t="str">
        <f ca="1">IFERROR(__xludf.DUMMYFUNCTION("""COMPUTED_VALUE"""),"S")</f>
        <v>S</v>
      </c>
      <c r="G153" s="189">
        <f ca="1">IFERROR(__xludf.DUMMYFUNCTION("""COMPUTED_VALUE"""),5)</f>
        <v>5</v>
      </c>
      <c r="H153" s="196"/>
      <c r="I153" s="196"/>
      <c r="J153" s="196"/>
      <c r="K153" s="196"/>
      <c r="L153" s="196" t="str">
        <v/>
      </c>
      <c r="M153" s="196"/>
    </row>
    <row r="154" spans="1:13" ht="14.4" x14ac:dyDescent="0.3">
      <c r="A154" s="189" t="str">
        <f ca="1">IFERROR(__xludf.DUMMYFUNCTION("""COMPUTED_VALUE"""),"CCC")</f>
        <v>CCC</v>
      </c>
      <c r="B154" s="195" t="str">
        <f ca="1">IFERROR(__xludf.DUMMYFUNCTION("""COMPUTED_VALUE"""),"Trey Gagermeier")</f>
        <v>Trey Gagermeier</v>
      </c>
      <c r="C154" s="189">
        <f ca="1">IFERROR(__xludf.DUMMYFUNCTION("""COMPUTED_VALUE"""),17)</f>
        <v>17</v>
      </c>
      <c r="D154" s="189" t="str">
        <f ca="1">IFERROR(__xludf.DUMMYFUNCTION("""COMPUTED_VALUE"""),"B")</f>
        <v>B</v>
      </c>
      <c r="E154" s="189" t="str">
        <f ca="1">IFERROR(__xludf.DUMMYFUNCTION("""COMPUTED_VALUE"""),"S")</f>
        <v>S</v>
      </c>
      <c r="F154" s="189" t="str">
        <f ca="1">IFERROR(__xludf.DUMMYFUNCTION("""COMPUTED_VALUE"""),"S")</f>
        <v>S</v>
      </c>
      <c r="G154" s="189">
        <f ca="1">IFERROR(__xludf.DUMMYFUNCTION("""COMPUTED_VALUE"""),5)</f>
        <v>5</v>
      </c>
      <c r="H154" s="196" t="s">
        <v>106</v>
      </c>
      <c r="I154" s="196"/>
      <c r="J154" s="196" t="s">
        <v>29</v>
      </c>
      <c r="K154" s="196"/>
      <c r="L154" s="196" t="str">
        <v xml:space="preserve"> 132.90</v>
      </c>
      <c r="M154" s="196"/>
    </row>
    <row r="155" spans="1:13" ht="14.4" x14ac:dyDescent="0.3">
      <c r="A155" s="189" t="str">
        <f ca="1">IFERROR(__xludf.DUMMYFUNCTION("""COMPUTED_VALUE"""),"CH")</f>
        <v>CH</v>
      </c>
      <c r="B155" s="195" t="str">
        <f ca="1">IFERROR(__xludf.DUMMYFUNCTION("""COMPUTED_VALUE"""),"Aadhya Alla")</f>
        <v>Aadhya Alla</v>
      </c>
      <c r="C155" s="189">
        <f ca="1">IFERROR(__xludf.DUMMYFUNCTION("""COMPUTED_VALUE"""),9)</f>
        <v>9</v>
      </c>
      <c r="D155" s="189" t="str">
        <f ca="1">IFERROR(__xludf.DUMMYFUNCTION("""COMPUTED_VALUE"""),"G")</f>
        <v>G</v>
      </c>
      <c r="E155" s="189" t="str">
        <f ca="1">IFERROR(__xludf.DUMMYFUNCTION("""COMPUTED_VALUE"""),"F")</f>
        <v>F</v>
      </c>
      <c r="F155" s="189" t="str">
        <f ca="1">IFERROR(__xludf.DUMMYFUNCTION("""COMPUTED_VALUE"""),"J")</f>
        <v>J</v>
      </c>
      <c r="G155" s="189">
        <f ca="1">IFERROR(__xludf.DUMMYFUNCTION("""COMPUTED_VALUE"""),5)</f>
        <v>5</v>
      </c>
      <c r="H155" s="196"/>
      <c r="I155" s="196"/>
      <c r="J155" s="196"/>
      <c r="K155" s="196"/>
      <c r="L155" s="196" t="str">
        <v/>
      </c>
      <c r="M155" s="196"/>
    </row>
    <row r="156" spans="1:13" ht="14.4" x14ac:dyDescent="0.3">
      <c r="A156" s="189" t="str">
        <f ca="1">IFERROR(__xludf.DUMMYFUNCTION("""COMPUTED_VALUE"""),"CH")</f>
        <v>CH</v>
      </c>
      <c r="B156" s="195" t="str">
        <f ca="1">IFERROR(__xludf.DUMMYFUNCTION("""COMPUTED_VALUE"""),"Beatrice Lieu St Amant")</f>
        <v>Beatrice Lieu St Amant</v>
      </c>
      <c r="C156" s="189">
        <f ca="1">IFERROR(__xludf.DUMMYFUNCTION("""COMPUTED_VALUE"""),10)</f>
        <v>10</v>
      </c>
      <c r="D156" s="189" t="str">
        <f ca="1">IFERROR(__xludf.DUMMYFUNCTION("""COMPUTED_VALUE"""),"G")</f>
        <v>G</v>
      </c>
      <c r="E156" s="189" t="str">
        <f ca="1">IFERROR(__xludf.DUMMYFUNCTION("""COMPUTED_VALUE"""),"F")</f>
        <v>F</v>
      </c>
      <c r="F156" s="189" t="str">
        <f ca="1">IFERROR(__xludf.DUMMYFUNCTION("""COMPUTED_VALUE"""),"J")</f>
        <v>J</v>
      </c>
      <c r="G156" s="189">
        <f ca="1">IFERROR(__xludf.DUMMYFUNCTION("""COMPUTED_VALUE"""),5)</f>
        <v>5</v>
      </c>
      <c r="H156" s="196"/>
      <c r="I156" s="196"/>
      <c r="J156" s="196"/>
      <c r="K156" s="196"/>
      <c r="L156" s="196" t="str">
        <v/>
      </c>
      <c r="M156" s="196"/>
    </row>
    <row r="157" spans="1:13" ht="14.4" x14ac:dyDescent="0.3">
      <c r="A157" s="189" t="str">
        <f ca="1">IFERROR(__xludf.DUMMYFUNCTION("""COMPUTED_VALUE"""),"CH")</f>
        <v>CH</v>
      </c>
      <c r="B157" s="195" t="str">
        <f ca="1">IFERROR(__xludf.DUMMYFUNCTION("""COMPUTED_VALUE"""),"Cayla Lee")</f>
        <v>Cayla Lee</v>
      </c>
      <c r="C157" s="189">
        <f ca="1">IFERROR(__xludf.DUMMYFUNCTION("""COMPUTED_VALUE"""),6)</f>
        <v>6</v>
      </c>
      <c r="D157" s="189" t="str">
        <f ca="1">IFERROR(__xludf.DUMMYFUNCTION("""COMPUTED_VALUE"""),"G")</f>
        <v>G</v>
      </c>
      <c r="E157" s="189" t="str">
        <f ca="1">IFERROR(__xludf.DUMMYFUNCTION("""COMPUTED_VALUE"""),"F")</f>
        <v>F</v>
      </c>
      <c r="F157" s="189" t="str">
        <f ca="1">IFERROR(__xludf.DUMMYFUNCTION("""COMPUTED_VALUE"""),"J")</f>
        <v>J</v>
      </c>
      <c r="G157" s="189">
        <f ca="1">IFERROR(__xludf.DUMMYFUNCTION("""COMPUTED_VALUE"""),5)</f>
        <v>5</v>
      </c>
      <c r="H157" s="196"/>
      <c r="I157" s="196"/>
      <c r="J157" s="196"/>
      <c r="K157" s="196"/>
      <c r="L157" s="196" t="str">
        <v/>
      </c>
      <c r="M157" s="196"/>
    </row>
    <row r="158" spans="1:13" ht="14.4" x14ac:dyDescent="0.3">
      <c r="A158" s="189" t="str">
        <f ca="1">IFERROR(__xludf.DUMMYFUNCTION("""COMPUTED_VALUE"""),"CH")</f>
        <v>CH</v>
      </c>
      <c r="B158" s="195" t="str">
        <f ca="1">IFERROR(__xludf.DUMMYFUNCTION("""COMPUTED_VALUE"""),"Chloe McNabney")</f>
        <v>Chloe McNabney</v>
      </c>
      <c r="C158" s="189">
        <f ca="1">IFERROR(__xludf.DUMMYFUNCTION("""COMPUTED_VALUE"""),10)</f>
        <v>10</v>
      </c>
      <c r="D158" s="189" t="str">
        <f ca="1">IFERROR(__xludf.DUMMYFUNCTION("""COMPUTED_VALUE"""),"G")</f>
        <v>G</v>
      </c>
      <c r="E158" s="189" t="str">
        <f ca="1">IFERROR(__xludf.DUMMYFUNCTION("""COMPUTED_VALUE"""),"F")</f>
        <v>F</v>
      </c>
      <c r="F158" s="189" t="str">
        <f ca="1">IFERROR(__xludf.DUMMYFUNCTION("""COMPUTED_VALUE"""),"J")</f>
        <v>J</v>
      </c>
      <c r="G158" s="189">
        <f ca="1">IFERROR(__xludf.DUMMYFUNCTION("""COMPUTED_VALUE"""),5)</f>
        <v>5</v>
      </c>
      <c r="H158" s="196"/>
      <c r="I158" s="196"/>
      <c r="J158" s="196"/>
      <c r="K158" s="196"/>
      <c r="L158" s="196" t="str">
        <v/>
      </c>
      <c r="M158" s="196"/>
    </row>
    <row r="159" spans="1:13" ht="14.4" x14ac:dyDescent="0.3">
      <c r="A159" s="189" t="str">
        <f ca="1">IFERROR(__xludf.DUMMYFUNCTION("""COMPUTED_VALUE"""),"CH")</f>
        <v>CH</v>
      </c>
      <c r="B159" s="195" t="str">
        <f ca="1">IFERROR(__xludf.DUMMYFUNCTION("""COMPUTED_VALUE"""),"Colette Hecker")</f>
        <v>Colette Hecker</v>
      </c>
      <c r="C159" s="189">
        <f ca="1">IFERROR(__xludf.DUMMYFUNCTION("""COMPUTED_VALUE"""),8)</f>
        <v>8</v>
      </c>
      <c r="D159" s="189" t="str">
        <f ca="1">IFERROR(__xludf.DUMMYFUNCTION("""COMPUTED_VALUE"""),"G")</f>
        <v>G</v>
      </c>
      <c r="E159" s="189" t="str">
        <f ca="1">IFERROR(__xludf.DUMMYFUNCTION("""COMPUTED_VALUE"""),"F")</f>
        <v>F</v>
      </c>
      <c r="F159" s="189" t="str">
        <f ca="1">IFERROR(__xludf.DUMMYFUNCTION("""COMPUTED_VALUE"""),"J")</f>
        <v>J</v>
      </c>
      <c r="G159" s="189">
        <f ca="1">IFERROR(__xludf.DUMMYFUNCTION("""COMPUTED_VALUE"""),5)</f>
        <v>5</v>
      </c>
      <c r="H159" s="196"/>
      <c r="I159" s="196"/>
      <c r="J159" s="196"/>
      <c r="K159" s="196"/>
      <c r="L159" s="196" t="str">
        <v/>
      </c>
      <c r="M159" s="196"/>
    </row>
    <row r="160" spans="1:13" ht="14.4" x14ac:dyDescent="0.3">
      <c r="A160" s="189" t="str">
        <f ca="1">IFERROR(__xludf.DUMMYFUNCTION("""COMPUTED_VALUE"""),"CH")</f>
        <v>CH</v>
      </c>
      <c r="B160" s="195" t="str">
        <f ca="1">IFERROR(__xludf.DUMMYFUNCTION("""COMPUTED_VALUE"""),"Emily McKinnon")</f>
        <v>Emily McKinnon</v>
      </c>
      <c r="C160" s="189">
        <f ca="1">IFERROR(__xludf.DUMMYFUNCTION("""COMPUTED_VALUE"""),10)</f>
        <v>10</v>
      </c>
      <c r="D160" s="189" t="str">
        <f ca="1">IFERROR(__xludf.DUMMYFUNCTION("""COMPUTED_VALUE"""),"G")</f>
        <v>G</v>
      </c>
      <c r="E160" s="189" t="str">
        <f ca="1">IFERROR(__xludf.DUMMYFUNCTION("""COMPUTED_VALUE"""),"F")</f>
        <v>F</v>
      </c>
      <c r="F160" s="189" t="str">
        <f ca="1">IFERROR(__xludf.DUMMYFUNCTION("""COMPUTED_VALUE"""),"J")</f>
        <v>J</v>
      </c>
      <c r="G160" s="189">
        <f ca="1">IFERROR(__xludf.DUMMYFUNCTION("""COMPUTED_VALUE"""),5)</f>
        <v>5</v>
      </c>
      <c r="H160" s="196" t="s">
        <v>107</v>
      </c>
      <c r="I160" s="196"/>
      <c r="J160" s="196" t="s">
        <v>29</v>
      </c>
      <c r="K160" s="196"/>
      <c r="L160" s="196" t="str">
        <v xml:space="preserve"> 31.25</v>
      </c>
      <c r="M160" s="196"/>
    </row>
    <row r="161" spans="1:13" ht="14.4" x14ac:dyDescent="0.3">
      <c r="A161" s="189" t="str">
        <f ca="1">IFERROR(__xludf.DUMMYFUNCTION("""COMPUTED_VALUE"""),"CH")</f>
        <v>CH</v>
      </c>
      <c r="B161" s="195" t="str">
        <f ca="1">IFERROR(__xludf.DUMMYFUNCTION("""COMPUTED_VALUE"""),"Emma Tkacz")</f>
        <v>Emma Tkacz</v>
      </c>
      <c r="C161" s="189">
        <f ca="1">IFERROR(__xludf.DUMMYFUNCTION("""COMPUTED_VALUE"""),7)</f>
        <v>7</v>
      </c>
      <c r="D161" s="189" t="str">
        <f ca="1">IFERROR(__xludf.DUMMYFUNCTION("""COMPUTED_VALUE"""),"G")</f>
        <v>G</v>
      </c>
      <c r="E161" s="189" t="str">
        <f ca="1">IFERROR(__xludf.DUMMYFUNCTION("""COMPUTED_VALUE"""),"F")</f>
        <v>F</v>
      </c>
      <c r="F161" s="189" t="str">
        <f ca="1">IFERROR(__xludf.DUMMYFUNCTION("""COMPUTED_VALUE"""),"J")</f>
        <v>J</v>
      </c>
      <c r="G161" s="189">
        <f ca="1">IFERROR(__xludf.DUMMYFUNCTION("""COMPUTED_VALUE"""),5)</f>
        <v>5</v>
      </c>
      <c r="H161" s="196"/>
      <c r="I161" s="196"/>
      <c r="J161" s="196"/>
      <c r="K161" s="196"/>
      <c r="L161" s="196" t="str">
        <v/>
      </c>
      <c r="M161" s="196"/>
    </row>
    <row r="162" spans="1:13" ht="14.4" x14ac:dyDescent="0.3">
      <c r="A162" s="189" t="str">
        <f ca="1">IFERROR(__xludf.DUMMYFUNCTION("""COMPUTED_VALUE"""),"CH")</f>
        <v>CH</v>
      </c>
      <c r="B162" s="195" t="str">
        <f ca="1">IFERROR(__xludf.DUMMYFUNCTION("""COMPUTED_VALUE"""),"Evelyn Uhl")</f>
        <v>Evelyn Uhl</v>
      </c>
      <c r="C162" s="189">
        <f ca="1">IFERROR(__xludf.DUMMYFUNCTION("""COMPUTED_VALUE"""),10)</f>
        <v>10</v>
      </c>
      <c r="D162" s="189" t="str">
        <f ca="1">IFERROR(__xludf.DUMMYFUNCTION("""COMPUTED_VALUE"""),"G")</f>
        <v>G</v>
      </c>
      <c r="E162" s="189" t="str">
        <f ca="1">IFERROR(__xludf.DUMMYFUNCTION("""COMPUTED_VALUE"""),"F")</f>
        <v>F</v>
      </c>
      <c r="F162" s="189" t="str">
        <f ca="1">IFERROR(__xludf.DUMMYFUNCTION("""COMPUTED_VALUE"""),"J")</f>
        <v>J</v>
      </c>
      <c r="G162" s="189">
        <f ca="1">IFERROR(__xludf.DUMMYFUNCTION("""COMPUTED_VALUE"""),5)</f>
        <v>5</v>
      </c>
      <c r="H162" s="196"/>
      <c r="I162" s="196"/>
      <c r="J162" s="196"/>
      <c r="K162" s="196"/>
      <c r="L162" s="196" t="str">
        <v/>
      </c>
      <c r="M162" s="196"/>
    </row>
    <row r="163" spans="1:13" ht="14.4" x14ac:dyDescent="0.3">
      <c r="A163" s="189" t="str">
        <f ca="1">IFERROR(__xludf.DUMMYFUNCTION("""COMPUTED_VALUE"""),"CH")</f>
        <v>CH</v>
      </c>
      <c r="B163" s="195" t="str">
        <f ca="1">IFERROR(__xludf.DUMMYFUNCTION("""COMPUTED_VALUE"""),"Isabelle Dixey")</f>
        <v>Isabelle Dixey</v>
      </c>
      <c r="C163" s="189">
        <f ca="1">IFERROR(__xludf.DUMMYFUNCTION("""COMPUTED_VALUE"""),8)</f>
        <v>8</v>
      </c>
      <c r="D163" s="189" t="str">
        <f ca="1">IFERROR(__xludf.DUMMYFUNCTION("""COMPUTED_VALUE"""),"G")</f>
        <v>G</v>
      </c>
      <c r="E163" s="189" t="str">
        <f ca="1">IFERROR(__xludf.DUMMYFUNCTION("""COMPUTED_VALUE"""),"F")</f>
        <v>F</v>
      </c>
      <c r="F163" s="189" t="str">
        <f ca="1">IFERROR(__xludf.DUMMYFUNCTION("""COMPUTED_VALUE"""),"J")</f>
        <v>J</v>
      </c>
      <c r="G163" s="189">
        <f ca="1">IFERROR(__xludf.DUMMYFUNCTION("""COMPUTED_VALUE"""),5)</f>
        <v>5</v>
      </c>
      <c r="H163" s="196"/>
      <c r="I163" s="196"/>
      <c r="J163" s="196"/>
      <c r="K163" s="196"/>
      <c r="L163" s="196" t="str">
        <v/>
      </c>
      <c r="M163" s="196"/>
    </row>
    <row r="164" spans="1:13" ht="14.4" x14ac:dyDescent="0.3">
      <c r="A164" s="189" t="str">
        <f ca="1">IFERROR(__xludf.DUMMYFUNCTION("""COMPUTED_VALUE"""),"CH")</f>
        <v>CH</v>
      </c>
      <c r="B164" s="195" t="str">
        <f ca="1">IFERROR(__xludf.DUMMYFUNCTION("""COMPUTED_VALUE"""),"Kate Matthews")</f>
        <v>Kate Matthews</v>
      </c>
      <c r="C164" s="189">
        <f ca="1">IFERROR(__xludf.DUMMYFUNCTION("""COMPUTED_VALUE"""),8)</f>
        <v>8</v>
      </c>
      <c r="D164" s="189" t="str">
        <f ca="1">IFERROR(__xludf.DUMMYFUNCTION("""COMPUTED_VALUE"""),"G")</f>
        <v>G</v>
      </c>
      <c r="E164" s="189" t="str">
        <f ca="1">IFERROR(__xludf.DUMMYFUNCTION("""COMPUTED_VALUE"""),"F")</f>
        <v>F</v>
      </c>
      <c r="F164" s="189" t="str">
        <f ca="1">IFERROR(__xludf.DUMMYFUNCTION("""COMPUTED_VALUE"""),"J")</f>
        <v>J</v>
      </c>
      <c r="G164" s="189">
        <f ca="1">IFERROR(__xludf.DUMMYFUNCTION("""COMPUTED_VALUE"""),5)</f>
        <v>5</v>
      </c>
      <c r="H164" s="196"/>
      <c r="I164" s="196"/>
      <c r="J164" s="196"/>
      <c r="K164" s="196"/>
      <c r="L164" s="196" t="str">
        <v/>
      </c>
      <c r="M164" s="196"/>
    </row>
    <row r="165" spans="1:13" ht="14.4" x14ac:dyDescent="0.3">
      <c r="A165" s="189" t="str">
        <f ca="1">IFERROR(__xludf.DUMMYFUNCTION("""COMPUTED_VALUE"""),"CH")</f>
        <v>CH</v>
      </c>
      <c r="B165" s="195" t="str">
        <f ca="1">IFERROR(__xludf.DUMMYFUNCTION("""COMPUTED_VALUE"""),"Lilly Apgar")</f>
        <v>Lilly Apgar</v>
      </c>
      <c r="C165" s="189">
        <f ca="1">IFERROR(__xludf.DUMMYFUNCTION("""COMPUTED_VALUE"""),10)</f>
        <v>10</v>
      </c>
      <c r="D165" s="189" t="str">
        <f ca="1">IFERROR(__xludf.DUMMYFUNCTION("""COMPUTED_VALUE"""),"G")</f>
        <v>G</v>
      </c>
      <c r="E165" s="189" t="str">
        <f ca="1">IFERROR(__xludf.DUMMYFUNCTION("""COMPUTED_VALUE"""),"F")</f>
        <v>F</v>
      </c>
      <c r="F165" s="189" t="str">
        <f ca="1">IFERROR(__xludf.DUMMYFUNCTION("""COMPUTED_VALUE"""),"J")</f>
        <v>J</v>
      </c>
      <c r="G165" s="189">
        <f ca="1">IFERROR(__xludf.DUMMYFUNCTION("""COMPUTED_VALUE"""),5)</f>
        <v>5</v>
      </c>
      <c r="H165" s="196"/>
      <c r="I165" s="196"/>
      <c r="J165" s="196"/>
      <c r="K165" s="196"/>
      <c r="L165" s="196" t="str">
        <v/>
      </c>
      <c r="M165" s="196"/>
    </row>
    <row r="166" spans="1:13" ht="14.4" x14ac:dyDescent="0.3">
      <c r="A166" s="189" t="str">
        <f ca="1">IFERROR(__xludf.DUMMYFUNCTION("""COMPUTED_VALUE"""),"CH")</f>
        <v>CH</v>
      </c>
      <c r="B166" s="195" t="str">
        <f ca="1">IFERROR(__xludf.DUMMYFUNCTION("""COMPUTED_VALUE"""),"Mallory Coute")</f>
        <v>Mallory Coute</v>
      </c>
      <c r="C166" s="189">
        <f ca="1">IFERROR(__xludf.DUMMYFUNCTION("""COMPUTED_VALUE"""),10)</f>
        <v>10</v>
      </c>
      <c r="D166" s="189" t="str">
        <f ca="1">IFERROR(__xludf.DUMMYFUNCTION("""COMPUTED_VALUE"""),"G")</f>
        <v>G</v>
      </c>
      <c r="E166" s="189" t="str">
        <f ca="1">IFERROR(__xludf.DUMMYFUNCTION("""COMPUTED_VALUE"""),"F")</f>
        <v>F</v>
      </c>
      <c r="F166" s="189" t="str">
        <f ca="1">IFERROR(__xludf.DUMMYFUNCTION("""COMPUTED_VALUE"""),"J")</f>
        <v>J</v>
      </c>
      <c r="G166" s="189">
        <f ca="1">IFERROR(__xludf.DUMMYFUNCTION("""COMPUTED_VALUE"""),5)</f>
        <v>5</v>
      </c>
      <c r="H166" s="196"/>
      <c r="I166" s="196"/>
      <c r="J166" s="196"/>
      <c r="K166" s="196"/>
      <c r="L166" s="196" t="str">
        <v/>
      </c>
      <c r="M166" s="196"/>
    </row>
    <row r="167" spans="1:13" ht="14.4" x14ac:dyDescent="0.3">
      <c r="A167" s="189" t="str">
        <f ca="1">IFERROR(__xludf.DUMMYFUNCTION("""COMPUTED_VALUE"""),"CH")</f>
        <v>CH</v>
      </c>
      <c r="B167" s="195" t="str">
        <f ca="1">IFERROR(__xludf.DUMMYFUNCTION("""COMPUTED_VALUE"""),"Mia Tabrizi")</f>
        <v>Mia Tabrizi</v>
      </c>
      <c r="C167" s="189">
        <f ca="1">IFERROR(__xludf.DUMMYFUNCTION("""COMPUTED_VALUE"""),9)</f>
        <v>9</v>
      </c>
      <c r="D167" s="189" t="str">
        <f ca="1">IFERROR(__xludf.DUMMYFUNCTION("""COMPUTED_VALUE"""),"G")</f>
        <v>G</v>
      </c>
      <c r="E167" s="189" t="str">
        <f ca="1">IFERROR(__xludf.DUMMYFUNCTION("""COMPUTED_VALUE"""),"F")</f>
        <v>F</v>
      </c>
      <c r="F167" s="189" t="str">
        <f ca="1">IFERROR(__xludf.DUMMYFUNCTION("""COMPUTED_VALUE"""),"J")</f>
        <v>J</v>
      </c>
      <c r="G167" s="189">
        <f ca="1">IFERROR(__xludf.DUMMYFUNCTION("""COMPUTED_VALUE"""),5)</f>
        <v>5</v>
      </c>
      <c r="H167" s="196"/>
      <c r="I167" s="196"/>
      <c r="J167" s="196"/>
      <c r="K167" s="196"/>
      <c r="L167" s="196" t="str">
        <v/>
      </c>
      <c r="M167" s="196"/>
    </row>
    <row r="168" spans="1:13" ht="14.4" x14ac:dyDescent="0.3">
      <c r="A168" s="189" t="str">
        <f ca="1">IFERROR(__xludf.DUMMYFUNCTION("""COMPUTED_VALUE"""),"CH")</f>
        <v>CH</v>
      </c>
      <c r="B168" s="195" t="str">
        <f ca="1">IFERROR(__xludf.DUMMYFUNCTION("""COMPUTED_VALUE"""),"Mishi Roper")</f>
        <v>Mishi Roper</v>
      </c>
      <c r="C168" s="189">
        <f ca="1">IFERROR(__xludf.DUMMYFUNCTION("""COMPUTED_VALUE"""),10)</f>
        <v>10</v>
      </c>
      <c r="D168" s="189" t="str">
        <f ca="1">IFERROR(__xludf.DUMMYFUNCTION("""COMPUTED_VALUE"""),"G")</f>
        <v>G</v>
      </c>
      <c r="E168" s="189" t="str">
        <f ca="1">IFERROR(__xludf.DUMMYFUNCTION("""COMPUTED_VALUE"""),"F")</f>
        <v>F</v>
      </c>
      <c r="F168" s="189" t="str">
        <f ca="1">IFERROR(__xludf.DUMMYFUNCTION("""COMPUTED_VALUE"""),"J")</f>
        <v>J</v>
      </c>
      <c r="G168" s="189">
        <f ca="1">IFERROR(__xludf.DUMMYFUNCTION("""COMPUTED_VALUE"""),5)</f>
        <v>5</v>
      </c>
      <c r="H168" s="196"/>
      <c r="I168" s="196"/>
      <c r="J168" s="196"/>
      <c r="K168" s="196"/>
      <c r="L168" s="196" t="str">
        <v/>
      </c>
      <c r="M168" s="196"/>
    </row>
    <row r="169" spans="1:13" ht="14.4" x14ac:dyDescent="0.3">
      <c r="A169" s="189" t="str">
        <f ca="1">IFERROR(__xludf.DUMMYFUNCTION("""COMPUTED_VALUE"""),"CH")</f>
        <v>CH</v>
      </c>
      <c r="B169" s="195" t="str">
        <f ca="1">IFERROR(__xludf.DUMMYFUNCTION("""COMPUTED_VALUE"""),"Sammy Jarvis")</f>
        <v>Sammy Jarvis</v>
      </c>
      <c r="C169" s="189">
        <f ca="1">IFERROR(__xludf.DUMMYFUNCTION("""COMPUTED_VALUE"""),9)</f>
        <v>9</v>
      </c>
      <c r="D169" s="189" t="str">
        <f ca="1">IFERROR(__xludf.DUMMYFUNCTION("""COMPUTED_VALUE"""),"G")</f>
        <v>G</v>
      </c>
      <c r="E169" s="189" t="str">
        <f ca="1">IFERROR(__xludf.DUMMYFUNCTION("""COMPUTED_VALUE"""),"F")</f>
        <v>F</v>
      </c>
      <c r="F169" s="189" t="str">
        <f ca="1">IFERROR(__xludf.DUMMYFUNCTION("""COMPUTED_VALUE"""),"J")</f>
        <v>J</v>
      </c>
      <c r="G169" s="189">
        <f ca="1">IFERROR(__xludf.DUMMYFUNCTION("""COMPUTED_VALUE"""),5)</f>
        <v>5</v>
      </c>
      <c r="H169" s="196" t="s">
        <v>108</v>
      </c>
      <c r="I169" s="196"/>
      <c r="J169" s="196" t="s">
        <v>29</v>
      </c>
      <c r="K169" s="196"/>
      <c r="L169" s="196" t="str">
        <v xml:space="preserve"> 38.70</v>
      </c>
      <c r="M169" s="196"/>
    </row>
    <row r="170" spans="1:13" ht="14.4" x14ac:dyDescent="0.3">
      <c r="A170" s="189" t="str">
        <f ca="1">IFERROR(__xludf.DUMMYFUNCTION("""COMPUTED_VALUE"""),"CH")</f>
        <v>CH</v>
      </c>
      <c r="B170" s="195" t="str">
        <f ca="1">IFERROR(__xludf.DUMMYFUNCTION("""COMPUTED_VALUE"""),"Stella McCormack")</f>
        <v>Stella McCormack</v>
      </c>
      <c r="C170" s="189">
        <f ca="1">IFERROR(__xludf.DUMMYFUNCTION("""COMPUTED_VALUE"""),8)</f>
        <v>8</v>
      </c>
      <c r="D170" s="189" t="str">
        <f ca="1">IFERROR(__xludf.DUMMYFUNCTION("""COMPUTED_VALUE"""),"G")</f>
        <v>G</v>
      </c>
      <c r="E170" s="189" t="str">
        <f ca="1">IFERROR(__xludf.DUMMYFUNCTION("""COMPUTED_VALUE"""),"F")</f>
        <v>F</v>
      </c>
      <c r="F170" s="189" t="str">
        <f ca="1">IFERROR(__xludf.DUMMYFUNCTION("""COMPUTED_VALUE"""),"J")</f>
        <v>J</v>
      </c>
      <c r="G170" s="189">
        <f ca="1">IFERROR(__xludf.DUMMYFUNCTION("""COMPUTED_VALUE"""),5)</f>
        <v>5</v>
      </c>
      <c r="H170" s="196"/>
      <c r="I170" s="196"/>
      <c r="J170" s="196"/>
      <c r="K170" s="196"/>
      <c r="L170" s="196" t="str">
        <v/>
      </c>
      <c r="M170" s="196"/>
    </row>
    <row r="171" spans="1:13" ht="14.4" x14ac:dyDescent="0.3">
      <c r="A171" s="189" t="str">
        <f ca="1">IFERROR(__xludf.DUMMYFUNCTION("""COMPUTED_VALUE"""),"CH")</f>
        <v>CH</v>
      </c>
      <c r="B171" s="195" t="str">
        <f ca="1">IFERROR(__xludf.DUMMYFUNCTION("""COMPUTED_VALUE"""),"Victoria Turcot")</f>
        <v>Victoria Turcot</v>
      </c>
      <c r="C171" s="189">
        <f ca="1">IFERROR(__xludf.DUMMYFUNCTION("""COMPUTED_VALUE"""),8)</f>
        <v>8</v>
      </c>
      <c r="D171" s="189" t="str">
        <f ca="1">IFERROR(__xludf.DUMMYFUNCTION("""COMPUTED_VALUE"""),"G")</f>
        <v>G</v>
      </c>
      <c r="E171" s="189" t="str">
        <f ca="1">IFERROR(__xludf.DUMMYFUNCTION("""COMPUTED_VALUE"""),"F")</f>
        <v>F</v>
      </c>
      <c r="F171" s="189" t="str">
        <f ca="1">IFERROR(__xludf.DUMMYFUNCTION("""COMPUTED_VALUE"""),"J")</f>
        <v>J</v>
      </c>
      <c r="G171" s="189">
        <f ca="1">IFERROR(__xludf.DUMMYFUNCTION("""COMPUTED_VALUE"""),5)</f>
        <v>5</v>
      </c>
      <c r="H171" s="196"/>
      <c r="I171" s="196"/>
      <c r="J171" s="196"/>
      <c r="K171" s="196"/>
      <c r="L171" s="196" t="str">
        <v/>
      </c>
      <c r="M171" s="196"/>
    </row>
    <row r="172" spans="1:13" ht="14.4" x14ac:dyDescent="0.3">
      <c r="A172" s="189" t="str">
        <f ca="1">IFERROR(__xludf.DUMMYFUNCTION("""COMPUTED_VALUE"""),"CH")</f>
        <v>CH</v>
      </c>
      <c r="B172" s="195" t="str">
        <f ca="1">IFERROR(__xludf.DUMMYFUNCTION("""COMPUTED_VALUE"""),"Yohanna Stone")</f>
        <v>Yohanna Stone</v>
      </c>
      <c r="C172" s="189">
        <f ca="1">IFERROR(__xludf.DUMMYFUNCTION("""COMPUTED_VALUE"""),8)</f>
        <v>8</v>
      </c>
      <c r="D172" s="189" t="str">
        <f ca="1">IFERROR(__xludf.DUMMYFUNCTION("""COMPUTED_VALUE"""),"G")</f>
        <v>G</v>
      </c>
      <c r="E172" s="189" t="str">
        <f ca="1">IFERROR(__xludf.DUMMYFUNCTION("""COMPUTED_VALUE"""),"F")</f>
        <v>F</v>
      </c>
      <c r="F172" s="189" t="str">
        <f ca="1">IFERROR(__xludf.DUMMYFUNCTION("""COMPUTED_VALUE"""),"J")</f>
        <v>J</v>
      </c>
      <c r="G172" s="189">
        <f ca="1">IFERROR(__xludf.DUMMYFUNCTION("""COMPUTED_VALUE"""),5)</f>
        <v>5</v>
      </c>
      <c r="H172" s="196"/>
      <c r="I172" s="196"/>
      <c r="J172" s="196"/>
      <c r="K172" s="196"/>
      <c r="L172" s="196" t="str">
        <v/>
      </c>
      <c r="M172" s="196"/>
    </row>
    <row r="173" spans="1:13" ht="14.4" x14ac:dyDescent="0.3">
      <c r="A173" s="189" t="str">
        <f ca="1">IFERROR(__xludf.DUMMYFUNCTION("""COMPUTED_VALUE"""),"CH")</f>
        <v>CH</v>
      </c>
      <c r="B173" s="195" t="str">
        <f ca="1">IFERROR(__xludf.DUMMYFUNCTION("""COMPUTED_VALUE"""),"Aiden Cox")</f>
        <v>Aiden Cox</v>
      </c>
      <c r="C173" s="189">
        <f ca="1">IFERROR(__xludf.DUMMYFUNCTION("""COMPUTED_VALUE"""),10)</f>
        <v>10</v>
      </c>
      <c r="D173" s="189" t="str">
        <f ca="1">IFERROR(__xludf.DUMMYFUNCTION("""COMPUTED_VALUE"""),"B")</f>
        <v>B</v>
      </c>
      <c r="E173" s="189" t="str">
        <f ca="1">IFERROR(__xludf.DUMMYFUNCTION("""COMPUTED_VALUE"""),"F")</f>
        <v>F</v>
      </c>
      <c r="F173" s="189" t="str">
        <f ca="1">IFERROR(__xludf.DUMMYFUNCTION("""COMPUTED_VALUE"""),"J")</f>
        <v>J</v>
      </c>
      <c r="G173" s="189">
        <f ca="1">IFERROR(__xludf.DUMMYFUNCTION("""COMPUTED_VALUE"""),5)</f>
        <v>5</v>
      </c>
      <c r="H173" s="196"/>
      <c r="I173" s="196"/>
      <c r="J173" s="196"/>
      <c r="K173" s="196"/>
      <c r="L173" s="196" t="str">
        <v/>
      </c>
      <c r="M173" s="196"/>
    </row>
    <row r="174" spans="1:13" ht="14.4" x14ac:dyDescent="0.3">
      <c r="A174" s="189" t="str">
        <f ca="1">IFERROR(__xludf.DUMMYFUNCTION("""COMPUTED_VALUE"""),"CH")</f>
        <v>CH</v>
      </c>
      <c r="B174" s="195" t="str">
        <f ca="1">IFERROR(__xludf.DUMMYFUNCTION("""COMPUTED_VALUE"""),"Alexander Tkacz")</f>
        <v>Alexander Tkacz</v>
      </c>
      <c r="C174" s="189">
        <f ca="1">IFERROR(__xludf.DUMMYFUNCTION("""COMPUTED_VALUE"""),8)</f>
        <v>8</v>
      </c>
      <c r="D174" s="189" t="str">
        <f ca="1">IFERROR(__xludf.DUMMYFUNCTION("""COMPUTED_VALUE"""),"B")</f>
        <v>B</v>
      </c>
      <c r="E174" s="189" t="str">
        <f ca="1">IFERROR(__xludf.DUMMYFUNCTION("""COMPUTED_VALUE"""),"F")</f>
        <v>F</v>
      </c>
      <c r="F174" s="189" t="str">
        <f ca="1">IFERROR(__xludf.DUMMYFUNCTION("""COMPUTED_VALUE"""),"J")</f>
        <v>J</v>
      </c>
      <c r="G174" s="189">
        <f ca="1">IFERROR(__xludf.DUMMYFUNCTION("""COMPUTED_VALUE"""),5)</f>
        <v>5</v>
      </c>
      <c r="H174" s="196"/>
      <c r="I174" s="196"/>
      <c r="J174" s="196"/>
      <c r="K174" s="196"/>
      <c r="L174" s="196" t="str">
        <v/>
      </c>
      <c r="M174" s="196"/>
    </row>
    <row r="175" spans="1:13" ht="14.4" x14ac:dyDescent="0.3">
      <c r="A175" s="189" t="str">
        <f ca="1">IFERROR(__xludf.DUMMYFUNCTION("""COMPUTED_VALUE"""),"CH")</f>
        <v>CH</v>
      </c>
      <c r="B175" s="195" t="str">
        <f ca="1">IFERROR(__xludf.DUMMYFUNCTION("""COMPUTED_VALUE"""),"Andrew Beck")</f>
        <v>Andrew Beck</v>
      </c>
      <c r="C175" s="189">
        <f ca="1">IFERROR(__xludf.DUMMYFUNCTION("""COMPUTED_VALUE"""),8)</f>
        <v>8</v>
      </c>
      <c r="D175" s="189" t="str">
        <f ca="1">IFERROR(__xludf.DUMMYFUNCTION("""COMPUTED_VALUE"""),"B")</f>
        <v>B</v>
      </c>
      <c r="E175" s="189" t="str">
        <f ca="1">IFERROR(__xludf.DUMMYFUNCTION("""COMPUTED_VALUE"""),"F")</f>
        <v>F</v>
      </c>
      <c r="F175" s="189" t="str">
        <f ca="1">IFERROR(__xludf.DUMMYFUNCTION("""COMPUTED_VALUE"""),"J")</f>
        <v>J</v>
      </c>
      <c r="G175" s="189">
        <f ca="1">IFERROR(__xludf.DUMMYFUNCTION("""COMPUTED_VALUE"""),5)</f>
        <v>5</v>
      </c>
      <c r="H175" s="196" t="s">
        <v>109</v>
      </c>
      <c r="I175" s="196"/>
      <c r="J175" s="196" t="s">
        <v>29</v>
      </c>
      <c r="K175" s="196"/>
      <c r="L175" s="196" t="str">
        <v xml:space="preserve"> 66.20</v>
      </c>
      <c r="M175" s="196"/>
    </row>
    <row r="176" spans="1:13" ht="14.4" x14ac:dyDescent="0.3">
      <c r="A176" s="189" t="str">
        <f ca="1">IFERROR(__xludf.DUMMYFUNCTION("""COMPUTED_VALUE"""),"CH")</f>
        <v>CH</v>
      </c>
      <c r="B176" s="195" t="str">
        <f ca="1">IFERROR(__xludf.DUMMYFUNCTION("""COMPUTED_VALUE"""),"Baxter Shimooka")</f>
        <v>Baxter Shimooka</v>
      </c>
      <c r="C176" s="189">
        <f ca="1">IFERROR(__xludf.DUMMYFUNCTION("""COMPUTED_VALUE"""),9)</f>
        <v>9</v>
      </c>
      <c r="D176" s="189" t="str">
        <f ca="1">IFERROR(__xludf.DUMMYFUNCTION("""COMPUTED_VALUE"""),"B")</f>
        <v>B</v>
      </c>
      <c r="E176" s="189" t="str">
        <f ca="1">IFERROR(__xludf.DUMMYFUNCTION("""COMPUTED_VALUE"""),"F")</f>
        <v>F</v>
      </c>
      <c r="F176" s="189" t="str">
        <f ca="1">IFERROR(__xludf.DUMMYFUNCTION("""COMPUTED_VALUE"""),"J")</f>
        <v>J</v>
      </c>
      <c r="G176" s="189">
        <f ca="1">IFERROR(__xludf.DUMMYFUNCTION("""COMPUTED_VALUE"""),5)</f>
        <v>5</v>
      </c>
      <c r="H176" s="196"/>
      <c r="I176" s="196"/>
      <c r="J176" s="196"/>
      <c r="K176" s="196"/>
      <c r="L176" s="196" t="str">
        <v/>
      </c>
      <c r="M176" s="196"/>
    </row>
    <row r="177" spans="1:13" ht="14.4" x14ac:dyDescent="0.3">
      <c r="A177" s="189" t="str">
        <f ca="1">IFERROR(__xludf.DUMMYFUNCTION("""COMPUTED_VALUE"""),"CH")</f>
        <v>CH</v>
      </c>
      <c r="B177" s="195" t="str">
        <f ca="1">IFERROR(__xludf.DUMMYFUNCTION("""COMPUTED_VALUE"""),"Brooks Pacheco-Manetti")</f>
        <v>Brooks Pacheco-Manetti</v>
      </c>
      <c r="C177" s="189">
        <f ca="1">IFERROR(__xludf.DUMMYFUNCTION("""COMPUTED_VALUE"""),5)</f>
        <v>5</v>
      </c>
      <c r="D177" s="189" t="str">
        <f ca="1">IFERROR(__xludf.DUMMYFUNCTION("""COMPUTED_VALUE"""),"B")</f>
        <v>B</v>
      </c>
      <c r="E177" s="189" t="str">
        <f ca="1">IFERROR(__xludf.DUMMYFUNCTION("""COMPUTED_VALUE"""),"F")</f>
        <v>F</v>
      </c>
      <c r="F177" s="189" t="str">
        <f ca="1">IFERROR(__xludf.DUMMYFUNCTION("""COMPUTED_VALUE"""),"J")</f>
        <v>J</v>
      </c>
      <c r="G177" s="189">
        <f ca="1">IFERROR(__xludf.DUMMYFUNCTION("""COMPUTED_VALUE"""),5)</f>
        <v>5</v>
      </c>
      <c r="H177" s="196"/>
      <c r="I177" s="196"/>
      <c r="J177" s="196"/>
      <c r="K177" s="196"/>
      <c r="L177" s="196" t="str">
        <v/>
      </c>
      <c r="M177" s="196"/>
    </row>
    <row r="178" spans="1:13" ht="14.4" x14ac:dyDescent="0.3">
      <c r="A178" s="189" t="str">
        <f ca="1">IFERROR(__xludf.DUMMYFUNCTION("""COMPUTED_VALUE"""),"CH")</f>
        <v>CH</v>
      </c>
      <c r="B178" s="195" t="str">
        <f ca="1">IFERROR(__xludf.DUMMYFUNCTION("""COMPUTED_VALUE"""),"Carson Shreckhise")</f>
        <v>Carson Shreckhise</v>
      </c>
      <c r="C178" s="189">
        <f ca="1">IFERROR(__xludf.DUMMYFUNCTION("""COMPUTED_VALUE"""),6)</f>
        <v>6</v>
      </c>
      <c r="D178" s="189" t="str">
        <f ca="1">IFERROR(__xludf.DUMMYFUNCTION("""COMPUTED_VALUE"""),"B")</f>
        <v>B</v>
      </c>
      <c r="E178" s="189" t="str">
        <f ca="1">IFERROR(__xludf.DUMMYFUNCTION("""COMPUTED_VALUE"""),"F")</f>
        <v>F</v>
      </c>
      <c r="F178" s="189" t="str">
        <f ca="1">IFERROR(__xludf.DUMMYFUNCTION("""COMPUTED_VALUE"""),"J")</f>
        <v>J</v>
      </c>
      <c r="G178" s="189">
        <f ca="1">IFERROR(__xludf.DUMMYFUNCTION("""COMPUTED_VALUE"""),5)</f>
        <v>5</v>
      </c>
      <c r="H178" s="196"/>
      <c r="I178" s="196"/>
      <c r="J178" s="196"/>
      <c r="K178" s="196"/>
      <c r="L178" s="196" t="str">
        <v/>
      </c>
      <c r="M178" s="196"/>
    </row>
    <row r="179" spans="1:13" ht="14.4" x14ac:dyDescent="0.3">
      <c r="A179" s="189" t="str">
        <f ca="1">IFERROR(__xludf.DUMMYFUNCTION("""COMPUTED_VALUE"""),"CH")</f>
        <v>CH</v>
      </c>
      <c r="B179" s="195" t="str">
        <f ca="1">IFERROR(__xludf.DUMMYFUNCTION("""COMPUTED_VALUE"""),"Cedar Lee")</f>
        <v>Cedar Lee</v>
      </c>
      <c r="C179" s="189">
        <f ca="1">IFERROR(__xludf.DUMMYFUNCTION("""COMPUTED_VALUE"""),8)</f>
        <v>8</v>
      </c>
      <c r="D179" s="189" t="str">
        <f ca="1">IFERROR(__xludf.DUMMYFUNCTION("""COMPUTED_VALUE"""),"B")</f>
        <v>B</v>
      </c>
      <c r="E179" s="189" t="str">
        <f ca="1">IFERROR(__xludf.DUMMYFUNCTION("""COMPUTED_VALUE"""),"F")</f>
        <v>F</v>
      </c>
      <c r="F179" s="189" t="str">
        <f ca="1">IFERROR(__xludf.DUMMYFUNCTION("""COMPUTED_VALUE"""),"J")</f>
        <v>J</v>
      </c>
      <c r="G179" s="189">
        <f ca="1">IFERROR(__xludf.DUMMYFUNCTION("""COMPUTED_VALUE"""),5)</f>
        <v>5</v>
      </c>
      <c r="H179" s="196"/>
      <c r="I179" s="196"/>
      <c r="J179" s="196"/>
      <c r="K179" s="196"/>
      <c r="L179" s="196" t="str">
        <v/>
      </c>
      <c r="M179" s="196"/>
    </row>
    <row r="180" spans="1:13" ht="14.4" x14ac:dyDescent="0.3">
      <c r="A180" s="189" t="str">
        <f ca="1">IFERROR(__xludf.DUMMYFUNCTION("""COMPUTED_VALUE"""),"CH")</f>
        <v>CH</v>
      </c>
      <c r="B180" s="195" t="str">
        <f ca="1">IFERROR(__xludf.DUMMYFUNCTION("""COMPUTED_VALUE"""),"Cooper Matthews")</f>
        <v>Cooper Matthews</v>
      </c>
      <c r="C180" s="189">
        <f ca="1">IFERROR(__xludf.DUMMYFUNCTION("""COMPUTED_VALUE"""),6)</f>
        <v>6</v>
      </c>
      <c r="D180" s="189" t="str">
        <f ca="1">IFERROR(__xludf.DUMMYFUNCTION("""COMPUTED_VALUE"""),"B")</f>
        <v>B</v>
      </c>
      <c r="E180" s="189" t="str">
        <f ca="1">IFERROR(__xludf.DUMMYFUNCTION("""COMPUTED_VALUE"""),"F")</f>
        <v>F</v>
      </c>
      <c r="F180" s="189" t="str">
        <f ca="1">IFERROR(__xludf.DUMMYFUNCTION("""COMPUTED_VALUE"""),"J")</f>
        <v>J</v>
      </c>
      <c r="G180" s="189">
        <f ca="1">IFERROR(__xludf.DUMMYFUNCTION("""COMPUTED_VALUE"""),5)</f>
        <v>5</v>
      </c>
      <c r="H180" s="196"/>
      <c r="I180" s="196"/>
      <c r="J180" s="196"/>
      <c r="K180" s="196"/>
      <c r="L180" s="196" t="str">
        <v/>
      </c>
      <c r="M180" s="196"/>
    </row>
    <row r="181" spans="1:13" ht="14.4" x14ac:dyDescent="0.3">
      <c r="A181" s="189" t="str">
        <f ca="1">IFERROR(__xludf.DUMMYFUNCTION("""COMPUTED_VALUE"""),"CH")</f>
        <v>CH</v>
      </c>
      <c r="B181" s="195" t="str">
        <f ca="1">IFERROR(__xludf.DUMMYFUNCTION("""COMPUTED_VALUE"""),"Daniel McKinnon")</f>
        <v>Daniel McKinnon</v>
      </c>
      <c r="C181" s="189">
        <f ca="1">IFERROR(__xludf.DUMMYFUNCTION("""COMPUTED_VALUE"""),7)</f>
        <v>7</v>
      </c>
      <c r="D181" s="189" t="str">
        <f ca="1">IFERROR(__xludf.DUMMYFUNCTION("""COMPUTED_VALUE"""),"B")</f>
        <v>B</v>
      </c>
      <c r="E181" s="189" t="str">
        <f ca="1">IFERROR(__xludf.DUMMYFUNCTION("""COMPUTED_VALUE"""),"F")</f>
        <v>F</v>
      </c>
      <c r="F181" s="189" t="str">
        <f ca="1">IFERROR(__xludf.DUMMYFUNCTION("""COMPUTED_VALUE"""),"J")</f>
        <v>J</v>
      </c>
      <c r="G181" s="189">
        <f ca="1">IFERROR(__xludf.DUMMYFUNCTION("""COMPUTED_VALUE"""),5)</f>
        <v>5</v>
      </c>
      <c r="H181" s="196"/>
      <c r="I181" s="196"/>
      <c r="J181" s="196"/>
      <c r="K181" s="196"/>
      <c r="L181" s="196" t="str">
        <v/>
      </c>
      <c r="M181" s="196"/>
    </row>
    <row r="182" spans="1:13" ht="14.4" x14ac:dyDescent="0.3">
      <c r="A182" s="189" t="str">
        <f ca="1">IFERROR(__xludf.DUMMYFUNCTION("""COMPUTED_VALUE"""),"CH")</f>
        <v>CH</v>
      </c>
      <c r="B182" s="195" t="str">
        <f ca="1">IFERROR(__xludf.DUMMYFUNCTION("""COMPUTED_VALUE"""),"Declan Pacheco-Manetti")</f>
        <v>Declan Pacheco-Manetti</v>
      </c>
      <c r="C182" s="189">
        <f ca="1">IFERROR(__xludf.DUMMYFUNCTION("""COMPUTED_VALUE"""),7)</f>
        <v>7</v>
      </c>
      <c r="D182" s="189" t="str">
        <f ca="1">IFERROR(__xludf.DUMMYFUNCTION("""COMPUTED_VALUE"""),"B")</f>
        <v>B</v>
      </c>
      <c r="E182" s="189" t="str">
        <f ca="1">IFERROR(__xludf.DUMMYFUNCTION("""COMPUTED_VALUE"""),"F")</f>
        <v>F</v>
      </c>
      <c r="F182" s="189" t="str">
        <f ca="1">IFERROR(__xludf.DUMMYFUNCTION("""COMPUTED_VALUE"""),"J")</f>
        <v>J</v>
      </c>
      <c r="G182" s="189">
        <f ca="1">IFERROR(__xludf.DUMMYFUNCTION("""COMPUTED_VALUE"""),5)</f>
        <v>5</v>
      </c>
      <c r="H182" s="196"/>
      <c r="I182" s="196"/>
      <c r="J182" s="196"/>
      <c r="K182" s="196"/>
      <c r="L182" s="196" t="str">
        <v/>
      </c>
      <c r="M182" s="196"/>
    </row>
    <row r="183" spans="1:13" ht="14.4" x14ac:dyDescent="0.3">
      <c r="A183" s="189" t="str">
        <f ca="1">IFERROR(__xludf.DUMMYFUNCTION("""COMPUTED_VALUE"""),"CH")</f>
        <v>CH</v>
      </c>
      <c r="B183" s="195" t="str">
        <f ca="1">IFERROR(__xludf.DUMMYFUNCTION("""COMPUTED_VALUE"""),"Emmett Shreckhise")</f>
        <v>Emmett Shreckhise</v>
      </c>
      <c r="C183" s="189">
        <f ca="1">IFERROR(__xludf.DUMMYFUNCTION("""COMPUTED_VALUE"""),8)</f>
        <v>8</v>
      </c>
      <c r="D183" s="189" t="str">
        <f ca="1">IFERROR(__xludf.DUMMYFUNCTION("""COMPUTED_VALUE"""),"B")</f>
        <v>B</v>
      </c>
      <c r="E183" s="189" t="str">
        <f ca="1">IFERROR(__xludf.DUMMYFUNCTION("""COMPUTED_VALUE"""),"F")</f>
        <v>F</v>
      </c>
      <c r="F183" s="189" t="str">
        <f ca="1">IFERROR(__xludf.DUMMYFUNCTION("""COMPUTED_VALUE"""),"J")</f>
        <v>J</v>
      </c>
      <c r="G183" s="189">
        <f ca="1">IFERROR(__xludf.DUMMYFUNCTION("""COMPUTED_VALUE"""),5)</f>
        <v>5</v>
      </c>
      <c r="H183" s="196"/>
      <c r="I183" s="196"/>
      <c r="J183" s="196"/>
      <c r="K183" s="196"/>
      <c r="L183" s="196" t="str">
        <v/>
      </c>
      <c r="M183" s="196"/>
    </row>
    <row r="184" spans="1:13" ht="14.4" x14ac:dyDescent="0.3">
      <c r="A184" s="189" t="str">
        <f ca="1">IFERROR(__xludf.DUMMYFUNCTION("""COMPUTED_VALUE"""),"CH")</f>
        <v>CH</v>
      </c>
      <c r="B184" s="195" t="str">
        <f ca="1">IFERROR(__xludf.DUMMYFUNCTION("""COMPUTED_VALUE"""),"Ethan Yang")</f>
        <v>Ethan Yang</v>
      </c>
      <c r="C184" s="189">
        <f ca="1">IFERROR(__xludf.DUMMYFUNCTION("""COMPUTED_VALUE"""),10)</f>
        <v>10</v>
      </c>
      <c r="D184" s="189" t="str">
        <f ca="1">IFERROR(__xludf.DUMMYFUNCTION("""COMPUTED_VALUE"""),"B")</f>
        <v>B</v>
      </c>
      <c r="E184" s="189" t="str">
        <f ca="1">IFERROR(__xludf.DUMMYFUNCTION("""COMPUTED_VALUE"""),"F")</f>
        <v>F</v>
      </c>
      <c r="F184" s="189" t="str">
        <f ca="1">IFERROR(__xludf.DUMMYFUNCTION("""COMPUTED_VALUE"""),"J")</f>
        <v>J</v>
      </c>
      <c r="G184" s="189">
        <f ca="1">IFERROR(__xludf.DUMMYFUNCTION("""COMPUTED_VALUE"""),5)</f>
        <v>5</v>
      </c>
      <c r="H184" s="196"/>
      <c r="I184" s="196"/>
      <c r="J184" s="196"/>
      <c r="K184" s="196"/>
      <c r="L184" s="196" t="str">
        <v/>
      </c>
      <c r="M184" s="196"/>
    </row>
    <row r="185" spans="1:13" ht="14.4" x14ac:dyDescent="0.3">
      <c r="A185" s="189" t="str">
        <f ca="1">IFERROR(__xludf.DUMMYFUNCTION("""COMPUTED_VALUE"""),"CH")</f>
        <v>CH</v>
      </c>
      <c r="B185" s="195" t="str">
        <f ca="1">IFERROR(__xludf.DUMMYFUNCTION("""COMPUTED_VALUE"""),"Freddy Xin")</f>
        <v>Freddy Xin</v>
      </c>
      <c r="C185" s="189">
        <f ca="1">IFERROR(__xludf.DUMMYFUNCTION("""COMPUTED_VALUE"""),8)</f>
        <v>8</v>
      </c>
      <c r="D185" s="189" t="str">
        <f ca="1">IFERROR(__xludf.DUMMYFUNCTION("""COMPUTED_VALUE"""),"B")</f>
        <v>B</v>
      </c>
      <c r="E185" s="189" t="str">
        <f ca="1">IFERROR(__xludf.DUMMYFUNCTION("""COMPUTED_VALUE"""),"F")</f>
        <v>F</v>
      </c>
      <c r="F185" s="189" t="str">
        <f ca="1">IFERROR(__xludf.DUMMYFUNCTION("""COMPUTED_VALUE"""),"J")</f>
        <v>J</v>
      </c>
      <c r="G185" s="189">
        <f ca="1">IFERROR(__xludf.DUMMYFUNCTION("""COMPUTED_VALUE"""),5)</f>
        <v>5</v>
      </c>
      <c r="H185" s="196"/>
      <c r="I185" s="196"/>
      <c r="J185" s="196"/>
      <c r="K185" s="196"/>
      <c r="L185" s="196" t="str">
        <v/>
      </c>
      <c r="M185" s="196"/>
    </row>
    <row r="186" spans="1:13" ht="14.4" x14ac:dyDescent="0.3">
      <c r="A186" s="189" t="str">
        <f ca="1">IFERROR(__xludf.DUMMYFUNCTION("""COMPUTED_VALUE"""),"CH")</f>
        <v>CH</v>
      </c>
      <c r="B186" s="195" t="str">
        <f ca="1">IFERROR(__xludf.DUMMYFUNCTION("""COMPUTED_VALUE"""),"Henry Schmitt")</f>
        <v>Henry Schmitt</v>
      </c>
      <c r="C186" s="189">
        <f ca="1">IFERROR(__xludf.DUMMYFUNCTION("""COMPUTED_VALUE"""),6)</f>
        <v>6</v>
      </c>
      <c r="D186" s="189" t="str">
        <f ca="1">IFERROR(__xludf.DUMMYFUNCTION("""COMPUTED_VALUE"""),"B")</f>
        <v>B</v>
      </c>
      <c r="E186" s="189" t="str">
        <f ca="1">IFERROR(__xludf.DUMMYFUNCTION("""COMPUTED_VALUE"""),"F")</f>
        <v>F</v>
      </c>
      <c r="F186" s="189" t="str">
        <f ca="1">IFERROR(__xludf.DUMMYFUNCTION("""COMPUTED_VALUE"""),"J")</f>
        <v>J</v>
      </c>
      <c r="G186" s="189">
        <f ca="1">IFERROR(__xludf.DUMMYFUNCTION("""COMPUTED_VALUE"""),5)</f>
        <v>5</v>
      </c>
      <c r="H186" s="196"/>
      <c r="I186" s="196"/>
      <c r="J186" s="196"/>
      <c r="K186" s="196"/>
      <c r="L186" s="196" t="str">
        <v/>
      </c>
      <c r="M186" s="196"/>
    </row>
    <row r="187" spans="1:13" ht="14.4" x14ac:dyDescent="0.3">
      <c r="A187" s="189" t="str">
        <f ca="1">IFERROR(__xludf.DUMMYFUNCTION("""COMPUTED_VALUE"""),"CH")</f>
        <v>CH</v>
      </c>
      <c r="B187" s="195" t="str">
        <f ca="1">IFERROR(__xludf.DUMMYFUNCTION("""COMPUTED_VALUE"""),"Jack Pacheco-Manetti")</f>
        <v>Jack Pacheco-Manetti</v>
      </c>
      <c r="C187" s="189">
        <f ca="1">IFERROR(__xludf.DUMMYFUNCTION("""COMPUTED_VALUE"""),9)</f>
        <v>9</v>
      </c>
      <c r="D187" s="189" t="str">
        <f ca="1">IFERROR(__xludf.DUMMYFUNCTION("""COMPUTED_VALUE"""),"B")</f>
        <v>B</v>
      </c>
      <c r="E187" s="189" t="str">
        <f ca="1">IFERROR(__xludf.DUMMYFUNCTION("""COMPUTED_VALUE"""),"F")</f>
        <v>F</v>
      </c>
      <c r="F187" s="189" t="str">
        <f ca="1">IFERROR(__xludf.DUMMYFUNCTION("""COMPUTED_VALUE"""),"J")</f>
        <v>J</v>
      </c>
      <c r="G187" s="189">
        <f ca="1">IFERROR(__xludf.DUMMYFUNCTION("""COMPUTED_VALUE"""),5)</f>
        <v>5</v>
      </c>
      <c r="H187" s="196"/>
      <c r="I187" s="196"/>
      <c r="J187" s="196"/>
      <c r="K187" s="196"/>
      <c r="L187" s="196" t="str">
        <v/>
      </c>
      <c r="M187" s="196"/>
    </row>
    <row r="188" spans="1:13" ht="14.4" x14ac:dyDescent="0.3">
      <c r="A188" s="189" t="str">
        <f ca="1">IFERROR(__xludf.DUMMYFUNCTION("""COMPUTED_VALUE"""),"CH")</f>
        <v>CH</v>
      </c>
      <c r="B188" s="195" t="str">
        <f ca="1">IFERROR(__xludf.DUMMYFUNCTION("""COMPUTED_VALUE"""),"Michael Tabrizi")</f>
        <v>Michael Tabrizi</v>
      </c>
      <c r="C188" s="189">
        <f ca="1">IFERROR(__xludf.DUMMYFUNCTION("""COMPUTED_VALUE"""),6)</f>
        <v>6</v>
      </c>
      <c r="D188" s="189" t="str">
        <f ca="1">IFERROR(__xludf.DUMMYFUNCTION("""COMPUTED_VALUE"""),"B")</f>
        <v>B</v>
      </c>
      <c r="E188" s="189" t="str">
        <f ca="1">IFERROR(__xludf.DUMMYFUNCTION("""COMPUTED_VALUE"""),"F")</f>
        <v>F</v>
      </c>
      <c r="F188" s="189" t="str">
        <f ca="1">IFERROR(__xludf.DUMMYFUNCTION("""COMPUTED_VALUE"""),"J")</f>
        <v>J</v>
      </c>
      <c r="G188" s="189">
        <f ca="1">IFERROR(__xludf.DUMMYFUNCTION("""COMPUTED_VALUE"""),5)</f>
        <v>5</v>
      </c>
      <c r="H188" s="196"/>
      <c r="I188" s="196"/>
      <c r="J188" s="196"/>
      <c r="K188" s="196"/>
      <c r="L188" s="196" t="str">
        <v/>
      </c>
      <c r="M188" s="196"/>
    </row>
    <row r="189" spans="1:13" ht="14.4" x14ac:dyDescent="0.3">
      <c r="A189" s="189" t="str">
        <f ca="1">IFERROR(__xludf.DUMMYFUNCTION("""COMPUTED_VALUE"""),"CH")</f>
        <v>CH</v>
      </c>
      <c r="B189" s="195" t="str">
        <f ca="1">IFERROR(__xludf.DUMMYFUNCTION("""COMPUTED_VALUE"""),"Nicolas Turcot")</f>
        <v>Nicolas Turcot</v>
      </c>
      <c r="C189" s="189">
        <f ca="1">IFERROR(__xludf.DUMMYFUNCTION("""COMPUTED_VALUE"""),6)</f>
        <v>6</v>
      </c>
      <c r="D189" s="189" t="str">
        <f ca="1">IFERROR(__xludf.DUMMYFUNCTION("""COMPUTED_VALUE"""),"B")</f>
        <v>B</v>
      </c>
      <c r="E189" s="189" t="str">
        <f ca="1">IFERROR(__xludf.DUMMYFUNCTION("""COMPUTED_VALUE"""),"F")</f>
        <v>F</v>
      </c>
      <c r="F189" s="189" t="str">
        <f ca="1">IFERROR(__xludf.DUMMYFUNCTION("""COMPUTED_VALUE"""),"J")</f>
        <v>J</v>
      </c>
      <c r="G189" s="189">
        <f ca="1">IFERROR(__xludf.DUMMYFUNCTION("""COMPUTED_VALUE"""),5)</f>
        <v>5</v>
      </c>
      <c r="H189" s="196"/>
      <c r="I189" s="196"/>
      <c r="J189" s="196"/>
      <c r="K189" s="196"/>
      <c r="L189" s="196" t="str">
        <v/>
      </c>
      <c r="M189" s="196"/>
    </row>
    <row r="190" spans="1:13" ht="14.4" x14ac:dyDescent="0.3">
      <c r="A190" s="189" t="str">
        <f ca="1">IFERROR(__xludf.DUMMYFUNCTION("""COMPUTED_VALUE"""),"CH")</f>
        <v>CH</v>
      </c>
      <c r="B190" s="195" t="str">
        <f ca="1">IFERROR(__xludf.DUMMYFUNCTION("""COMPUTED_VALUE"""),"Owen Constantine")</f>
        <v>Owen Constantine</v>
      </c>
      <c r="C190" s="189">
        <f ca="1">IFERROR(__xludf.DUMMYFUNCTION("""COMPUTED_VALUE"""),7)</f>
        <v>7</v>
      </c>
      <c r="D190" s="189" t="str">
        <f ca="1">IFERROR(__xludf.DUMMYFUNCTION("""COMPUTED_VALUE"""),"B")</f>
        <v>B</v>
      </c>
      <c r="E190" s="189" t="str">
        <f ca="1">IFERROR(__xludf.DUMMYFUNCTION("""COMPUTED_VALUE"""),"F")</f>
        <v>F</v>
      </c>
      <c r="F190" s="189" t="str">
        <f ca="1">IFERROR(__xludf.DUMMYFUNCTION("""COMPUTED_VALUE"""),"J")</f>
        <v>J</v>
      </c>
      <c r="G190" s="189">
        <f ca="1">IFERROR(__xludf.DUMMYFUNCTION("""COMPUTED_VALUE"""),5)</f>
        <v>5</v>
      </c>
      <c r="H190" s="196"/>
      <c r="I190" s="196"/>
      <c r="J190" s="196"/>
      <c r="K190" s="196"/>
      <c r="L190" s="196" t="str">
        <v/>
      </c>
      <c r="M190" s="196"/>
    </row>
    <row r="191" spans="1:13" ht="14.4" x14ac:dyDescent="0.3">
      <c r="A191" s="189" t="str">
        <f ca="1">IFERROR(__xludf.DUMMYFUNCTION("""COMPUTED_VALUE"""),"CH")</f>
        <v>CH</v>
      </c>
      <c r="B191" s="195" t="str">
        <f ca="1">IFERROR(__xludf.DUMMYFUNCTION("""COMPUTED_VALUE"""),"Parker Jaskot")</f>
        <v>Parker Jaskot</v>
      </c>
      <c r="C191" s="189">
        <f ca="1">IFERROR(__xludf.DUMMYFUNCTION("""COMPUTED_VALUE"""),9)</f>
        <v>9</v>
      </c>
      <c r="D191" s="189" t="str">
        <f ca="1">IFERROR(__xludf.DUMMYFUNCTION("""COMPUTED_VALUE"""),"B")</f>
        <v>B</v>
      </c>
      <c r="E191" s="189" t="str">
        <f ca="1">IFERROR(__xludf.DUMMYFUNCTION("""COMPUTED_VALUE"""),"F")</f>
        <v>F</v>
      </c>
      <c r="F191" s="189" t="str">
        <f ca="1">IFERROR(__xludf.DUMMYFUNCTION("""COMPUTED_VALUE"""),"J")</f>
        <v>J</v>
      </c>
      <c r="G191" s="189">
        <f ca="1">IFERROR(__xludf.DUMMYFUNCTION("""COMPUTED_VALUE"""),5)</f>
        <v>5</v>
      </c>
      <c r="H191" s="196"/>
      <c r="I191" s="196"/>
      <c r="J191" s="196"/>
      <c r="K191" s="196"/>
      <c r="L191" s="196" t="str">
        <v/>
      </c>
      <c r="M191" s="196"/>
    </row>
    <row r="192" spans="1:13" ht="14.4" x14ac:dyDescent="0.3">
      <c r="A192" s="189" t="str">
        <f ca="1">IFERROR(__xludf.DUMMYFUNCTION("""COMPUTED_VALUE"""),"CH")</f>
        <v>CH</v>
      </c>
      <c r="B192" s="195" t="str">
        <f ca="1">IFERROR(__xludf.DUMMYFUNCTION("""COMPUTED_VALUE"""),"Ryan Howsare")</f>
        <v>Ryan Howsare</v>
      </c>
      <c r="C192" s="189">
        <f ca="1">IFERROR(__xludf.DUMMYFUNCTION("""COMPUTED_VALUE"""),7)</f>
        <v>7</v>
      </c>
      <c r="D192" s="189" t="str">
        <f ca="1">IFERROR(__xludf.DUMMYFUNCTION("""COMPUTED_VALUE"""),"B")</f>
        <v>B</v>
      </c>
      <c r="E192" s="189" t="str">
        <f ca="1">IFERROR(__xludf.DUMMYFUNCTION("""COMPUTED_VALUE"""),"F")</f>
        <v>F</v>
      </c>
      <c r="F192" s="189" t="str">
        <f ca="1">IFERROR(__xludf.DUMMYFUNCTION("""COMPUTED_VALUE"""),"J")</f>
        <v>J</v>
      </c>
      <c r="G192" s="189">
        <f ca="1">IFERROR(__xludf.DUMMYFUNCTION("""COMPUTED_VALUE"""),5)</f>
        <v>5</v>
      </c>
      <c r="H192" s="196"/>
      <c r="I192" s="196"/>
      <c r="J192" s="196"/>
      <c r="K192" s="196"/>
      <c r="L192" s="196" t="str">
        <v/>
      </c>
      <c r="M192" s="196"/>
    </row>
    <row r="193" spans="1:13" ht="14.4" x14ac:dyDescent="0.3">
      <c r="A193" s="189" t="str">
        <f ca="1">IFERROR(__xludf.DUMMYFUNCTION("""COMPUTED_VALUE"""),"CH")</f>
        <v>CH</v>
      </c>
      <c r="B193" s="195" t="str">
        <f ca="1">IFERROR(__xludf.DUMMYFUNCTION("""COMPUTED_VALUE"""),"Tyler Salmons")</f>
        <v>Tyler Salmons</v>
      </c>
      <c r="C193" s="189">
        <f ca="1">IFERROR(__xludf.DUMMYFUNCTION("""COMPUTED_VALUE"""),9)</f>
        <v>9</v>
      </c>
      <c r="D193" s="189" t="str">
        <f ca="1">IFERROR(__xludf.DUMMYFUNCTION("""COMPUTED_VALUE"""),"B")</f>
        <v>B</v>
      </c>
      <c r="E193" s="189" t="str">
        <f ca="1">IFERROR(__xludf.DUMMYFUNCTION("""COMPUTED_VALUE"""),"F")</f>
        <v>F</v>
      </c>
      <c r="F193" s="189" t="str">
        <f ca="1">IFERROR(__xludf.DUMMYFUNCTION("""COMPUTED_VALUE"""),"J")</f>
        <v>J</v>
      </c>
      <c r="G193" s="189">
        <f ca="1">IFERROR(__xludf.DUMMYFUNCTION("""COMPUTED_VALUE"""),5)</f>
        <v>5</v>
      </c>
      <c r="H193" s="196"/>
      <c r="I193" s="196"/>
      <c r="J193" s="196"/>
      <c r="K193" s="196"/>
      <c r="L193" s="196" t="str">
        <v/>
      </c>
      <c r="M193" s="196"/>
    </row>
    <row r="194" spans="1:13" ht="14.4" x14ac:dyDescent="0.3">
      <c r="A194" s="189" t="str">
        <f ca="1">IFERROR(__xludf.DUMMYFUNCTION("""COMPUTED_VALUE"""),"CH")</f>
        <v>CH</v>
      </c>
      <c r="B194" s="195" t="str">
        <f ca="1">IFERROR(__xludf.DUMMYFUNCTION("""COMPUTED_VALUE"""),"Will Lee")</f>
        <v>Will Lee</v>
      </c>
      <c r="C194" s="189">
        <f ca="1">IFERROR(__xludf.DUMMYFUNCTION("""COMPUTED_VALUE"""),10)</f>
        <v>10</v>
      </c>
      <c r="D194" s="189" t="str">
        <f ca="1">IFERROR(__xludf.DUMMYFUNCTION("""COMPUTED_VALUE"""),"B")</f>
        <v>B</v>
      </c>
      <c r="E194" s="189" t="str">
        <f ca="1">IFERROR(__xludf.DUMMYFUNCTION("""COMPUTED_VALUE"""),"F")</f>
        <v>F</v>
      </c>
      <c r="F194" s="189" t="str">
        <f ca="1">IFERROR(__xludf.DUMMYFUNCTION("""COMPUTED_VALUE"""),"J")</f>
        <v>J</v>
      </c>
      <c r="G194" s="189">
        <f ca="1">IFERROR(__xludf.DUMMYFUNCTION("""COMPUTED_VALUE"""),5)</f>
        <v>5</v>
      </c>
      <c r="H194" s="196"/>
      <c r="I194" s="196"/>
      <c r="J194" s="196"/>
      <c r="K194" s="196"/>
      <c r="L194" s="196" t="str">
        <v/>
      </c>
      <c r="M194" s="196"/>
    </row>
    <row r="195" spans="1:13" ht="14.4" x14ac:dyDescent="0.3">
      <c r="A195" s="189" t="str">
        <f ca="1">IFERROR(__xludf.DUMMYFUNCTION("""COMPUTED_VALUE"""),"CH")</f>
        <v>CH</v>
      </c>
      <c r="B195" s="195" t="str">
        <f ca="1">IFERROR(__xludf.DUMMYFUNCTION("""COMPUTED_VALUE"""),"Cara Lauffer")</f>
        <v>Cara Lauffer</v>
      </c>
      <c r="C195" s="189">
        <f ca="1">IFERROR(__xludf.DUMMYFUNCTION("""COMPUTED_VALUE"""),14)</f>
        <v>14</v>
      </c>
      <c r="D195" s="189" t="str">
        <f ca="1">IFERROR(__xludf.DUMMYFUNCTION("""COMPUTED_VALUE"""),"G")</f>
        <v>G</v>
      </c>
      <c r="E195" s="189" t="str">
        <f ca="1">IFERROR(__xludf.DUMMYFUNCTION("""COMPUTED_VALUE"""),"I")</f>
        <v>I</v>
      </c>
      <c r="F195" s="189" t="str">
        <f ca="1">IFERROR(__xludf.DUMMYFUNCTION("""COMPUTED_VALUE"""),"S")</f>
        <v>S</v>
      </c>
      <c r="G195" s="189">
        <f ca="1">IFERROR(__xludf.DUMMYFUNCTION("""COMPUTED_VALUE"""),5)</f>
        <v>5</v>
      </c>
      <c r="H195" s="196"/>
      <c r="I195" s="196"/>
      <c r="J195" s="196"/>
      <c r="K195" s="196"/>
      <c r="L195" s="196" t="str">
        <v/>
      </c>
      <c r="M195" s="196"/>
    </row>
    <row r="196" spans="1:13" ht="14.4" x14ac:dyDescent="0.3">
      <c r="A196" s="189" t="str">
        <f ca="1">IFERROR(__xludf.DUMMYFUNCTION("""COMPUTED_VALUE"""),"CH")</f>
        <v>CH</v>
      </c>
      <c r="B196" s="195" t="str">
        <f ca="1">IFERROR(__xludf.DUMMYFUNCTION("""COMPUTED_VALUE"""),"Gwyneth Clifton")</f>
        <v>Gwyneth Clifton</v>
      </c>
      <c r="C196" s="189">
        <f ca="1">IFERROR(__xludf.DUMMYFUNCTION("""COMPUTED_VALUE"""),13)</f>
        <v>13</v>
      </c>
      <c r="D196" s="189" t="str">
        <f ca="1">IFERROR(__xludf.DUMMYFUNCTION("""COMPUTED_VALUE"""),"G")</f>
        <v>G</v>
      </c>
      <c r="E196" s="189" t="str">
        <f ca="1">IFERROR(__xludf.DUMMYFUNCTION("""COMPUTED_VALUE"""),"I")</f>
        <v>I</v>
      </c>
      <c r="F196" s="189" t="str">
        <f ca="1">IFERROR(__xludf.DUMMYFUNCTION("""COMPUTED_VALUE"""),"S")</f>
        <v>S</v>
      </c>
      <c r="G196" s="189">
        <f ca="1">IFERROR(__xludf.DUMMYFUNCTION("""COMPUTED_VALUE"""),5)</f>
        <v>5</v>
      </c>
      <c r="H196" s="196"/>
      <c r="I196" s="196"/>
      <c r="J196" s="196"/>
      <c r="K196" s="196"/>
      <c r="L196" s="196" t="str">
        <v/>
      </c>
      <c r="M196" s="196"/>
    </row>
    <row r="197" spans="1:13" ht="14.4" x14ac:dyDescent="0.3">
      <c r="A197" s="189" t="str">
        <f ca="1">IFERROR(__xludf.DUMMYFUNCTION("""COMPUTED_VALUE"""),"CH")</f>
        <v>CH</v>
      </c>
      <c r="B197" s="195" t="str">
        <f ca="1">IFERROR(__xludf.DUMMYFUNCTION("""COMPUTED_VALUE"""),"Katie Clague")</f>
        <v>Katie Clague</v>
      </c>
      <c r="C197" s="189">
        <f ca="1">IFERROR(__xludf.DUMMYFUNCTION("""COMPUTED_VALUE"""),13)</f>
        <v>13</v>
      </c>
      <c r="D197" s="189" t="str">
        <f ca="1">IFERROR(__xludf.DUMMYFUNCTION("""COMPUTED_VALUE"""),"G")</f>
        <v>G</v>
      </c>
      <c r="E197" s="189" t="str">
        <f ca="1">IFERROR(__xludf.DUMMYFUNCTION("""COMPUTED_VALUE"""),"I")</f>
        <v>I</v>
      </c>
      <c r="F197" s="189" t="str">
        <f ca="1">IFERROR(__xludf.DUMMYFUNCTION("""COMPUTED_VALUE"""),"S")</f>
        <v>S</v>
      </c>
      <c r="G197" s="189">
        <f ca="1">IFERROR(__xludf.DUMMYFUNCTION("""COMPUTED_VALUE"""),5)</f>
        <v>5</v>
      </c>
      <c r="H197" s="196" t="s">
        <v>110</v>
      </c>
      <c r="I197" s="196"/>
      <c r="J197" s="196" t="s">
        <v>29</v>
      </c>
      <c r="K197" s="196"/>
      <c r="L197" s="196" t="str">
        <v xml:space="preserve"> 112.00</v>
      </c>
      <c r="M197" s="196"/>
    </row>
    <row r="198" spans="1:13" ht="14.4" x14ac:dyDescent="0.3">
      <c r="A198" s="189" t="str">
        <f ca="1">IFERROR(__xludf.DUMMYFUNCTION("""COMPUTED_VALUE"""),"CH")</f>
        <v>CH</v>
      </c>
      <c r="B198" s="195" t="str">
        <f ca="1">IFERROR(__xludf.DUMMYFUNCTION("""COMPUTED_VALUE"""),"Samantha Apgar")</f>
        <v>Samantha Apgar</v>
      </c>
      <c r="C198" s="189">
        <f ca="1">IFERROR(__xludf.DUMMYFUNCTION("""COMPUTED_VALUE"""),14)</f>
        <v>14</v>
      </c>
      <c r="D198" s="189" t="str">
        <f ca="1">IFERROR(__xludf.DUMMYFUNCTION("""COMPUTED_VALUE"""),"G")</f>
        <v>G</v>
      </c>
      <c r="E198" s="189" t="str">
        <f ca="1">IFERROR(__xludf.DUMMYFUNCTION("""COMPUTED_VALUE"""),"I")</f>
        <v>I</v>
      </c>
      <c r="F198" s="189" t="str">
        <f ca="1">IFERROR(__xludf.DUMMYFUNCTION("""COMPUTED_VALUE"""),"S")</f>
        <v>S</v>
      </c>
      <c r="G198" s="189">
        <f ca="1">IFERROR(__xludf.DUMMYFUNCTION("""COMPUTED_VALUE"""),5)</f>
        <v>5</v>
      </c>
      <c r="H198" s="196"/>
      <c r="I198" s="196"/>
      <c r="J198" s="196"/>
      <c r="K198" s="196"/>
      <c r="L198" s="196" t="str">
        <v/>
      </c>
      <c r="M198" s="196"/>
    </row>
    <row r="199" spans="1:13" ht="14.4" x14ac:dyDescent="0.3">
      <c r="A199" s="189" t="str">
        <f ca="1">IFERROR(__xludf.DUMMYFUNCTION("""COMPUTED_VALUE"""),"CH")</f>
        <v>CH</v>
      </c>
      <c r="B199" s="195" t="str">
        <f ca="1">IFERROR(__xludf.DUMMYFUNCTION("""COMPUTED_VALUE"""),"Sophie Ulen")</f>
        <v>Sophie Ulen</v>
      </c>
      <c r="C199" s="189">
        <f ca="1">IFERROR(__xludf.DUMMYFUNCTION("""COMPUTED_VALUE"""),13)</f>
        <v>13</v>
      </c>
      <c r="D199" s="189" t="str">
        <f ca="1">IFERROR(__xludf.DUMMYFUNCTION("""COMPUTED_VALUE"""),"G")</f>
        <v>G</v>
      </c>
      <c r="E199" s="189" t="str">
        <f ca="1">IFERROR(__xludf.DUMMYFUNCTION("""COMPUTED_VALUE"""),"I")</f>
        <v>I</v>
      </c>
      <c r="F199" s="189" t="str">
        <f ca="1">IFERROR(__xludf.DUMMYFUNCTION("""COMPUTED_VALUE"""),"S")</f>
        <v>S</v>
      </c>
      <c r="G199" s="189">
        <f ca="1">IFERROR(__xludf.DUMMYFUNCTION("""COMPUTED_VALUE"""),5)</f>
        <v>5</v>
      </c>
      <c r="H199" s="196"/>
      <c r="I199" s="196"/>
      <c r="J199" s="196"/>
      <c r="K199" s="196"/>
      <c r="L199" s="196" t="str">
        <v/>
      </c>
      <c r="M199" s="196"/>
    </row>
    <row r="200" spans="1:13" ht="14.4" x14ac:dyDescent="0.3">
      <c r="A200" s="189" t="str">
        <f ca="1">IFERROR(__xludf.DUMMYFUNCTION("""COMPUTED_VALUE"""),"CH")</f>
        <v>CH</v>
      </c>
      <c r="B200" s="195" t="str">
        <f ca="1">IFERROR(__xludf.DUMMYFUNCTION("""COMPUTED_VALUE"""),"Cooper Jaskot")</f>
        <v>Cooper Jaskot</v>
      </c>
      <c r="C200" s="189">
        <f ca="1">IFERROR(__xludf.DUMMYFUNCTION("""COMPUTED_VALUE"""),13)</f>
        <v>13</v>
      </c>
      <c r="D200" s="189" t="str">
        <f ca="1">IFERROR(__xludf.DUMMYFUNCTION("""COMPUTED_VALUE"""),"B")</f>
        <v>B</v>
      </c>
      <c r="E200" s="189" t="str">
        <f ca="1">IFERROR(__xludf.DUMMYFUNCTION("""COMPUTED_VALUE"""),"I")</f>
        <v>I</v>
      </c>
      <c r="F200" s="189" t="str">
        <f ca="1">IFERROR(__xludf.DUMMYFUNCTION("""COMPUTED_VALUE"""),"S")</f>
        <v>S</v>
      </c>
      <c r="G200" s="189">
        <f ca="1">IFERROR(__xludf.DUMMYFUNCTION("""COMPUTED_VALUE"""),5)</f>
        <v>5</v>
      </c>
      <c r="H200" s="196"/>
      <c r="I200" s="196"/>
      <c r="J200" s="196"/>
      <c r="K200" s="196"/>
      <c r="L200" s="196" t="str">
        <v/>
      </c>
      <c r="M200" s="196"/>
    </row>
    <row r="201" spans="1:13" ht="14.4" x14ac:dyDescent="0.3">
      <c r="A201" s="189" t="str">
        <f ca="1">IFERROR(__xludf.DUMMYFUNCTION("""COMPUTED_VALUE"""),"CH")</f>
        <v>CH</v>
      </c>
      <c r="B201" s="195" t="str">
        <f ca="1">IFERROR(__xludf.DUMMYFUNCTION("""COMPUTED_VALUE"""),"Jackson Brabender")</f>
        <v>Jackson Brabender</v>
      </c>
      <c r="C201" s="189">
        <f ca="1">IFERROR(__xludf.DUMMYFUNCTION("""COMPUTED_VALUE"""),14)</f>
        <v>14</v>
      </c>
      <c r="D201" s="189" t="str">
        <f ca="1">IFERROR(__xludf.DUMMYFUNCTION("""COMPUTED_VALUE"""),"B")</f>
        <v>B</v>
      </c>
      <c r="E201" s="189" t="str">
        <f ca="1">IFERROR(__xludf.DUMMYFUNCTION("""COMPUTED_VALUE"""),"I")</f>
        <v>I</v>
      </c>
      <c r="F201" s="189" t="str">
        <f ca="1">IFERROR(__xludf.DUMMYFUNCTION("""COMPUTED_VALUE"""),"S")</f>
        <v>S</v>
      </c>
      <c r="G201" s="189">
        <f ca="1">IFERROR(__xludf.DUMMYFUNCTION("""COMPUTED_VALUE"""),5)</f>
        <v>5</v>
      </c>
      <c r="H201" s="196" t="s">
        <v>111</v>
      </c>
      <c r="I201" s="196"/>
      <c r="J201" s="196" t="s">
        <v>29</v>
      </c>
      <c r="K201" s="196"/>
      <c r="L201" s="196" t="str">
        <v xml:space="preserve"> 100.65</v>
      </c>
      <c r="M201" s="196"/>
    </row>
    <row r="202" spans="1:13" ht="14.4" x14ac:dyDescent="0.3">
      <c r="A202" s="189" t="str">
        <f ca="1">IFERROR(__xludf.DUMMYFUNCTION("""COMPUTED_VALUE"""),"CH")</f>
        <v>CH</v>
      </c>
      <c r="B202" s="195" t="str">
        <f ca="1">IFERROR(__xludf.DUMMYFUNCTION("""COMPUTED_VALUE"""),"Luke Lauretti")</f>
        <v>Luke Lauretti</v>
      </c>
      <c r="C202" s="189">
        <f ca="1">IFERROR(__xludf.DUMMYFUNCTION("""COMPUTED_VALUE"""),14)</f>
        <v>14</v>
      </c>
      <c r="D202" s="189" t="str">
        <f ca="1">IFERROR(__xludf.DUMMYFUNCTION("""COMPUTED_VALUE"""),"B")</f>
        <v>B</v>
      </c>
      <c r="E202" s="189" t="str">
        <f ca="1">IFERROR(__xludf.DUMMYFUNCTION("""COMPUTED_VALUE"""),"I")</f>
        <v>I</v>
      </c>
      <c r="F202" s="189" t="str">
        <f ca="1">IFERROR(__xludf.DUMMYFUNCTION("""COMPUTED_VALUE"""),"S")</f>
        <v>S</v>
      </c>
      <c r="G202" s="189">
        <f ca="1">IFERROR(__xludf.DUMMYFUNCTION("""COMPUTED_VALUE"""),5)</f>
        <v>5</v>
      </c>
      <c r="H202" s="196" t="s">
        <v>112</v>
      </c>
      <c r="I202" s="196"/>
      <c r="J202" s="196" t="s">
        <v>29</v>
      </c>
      <c r="K202" s="196"/>
      <c r="L202" s="196" t="str">
        <v xml:space="preserve"> 113.65</v>
      </c>
      <c r="M202" s="196"/>
    </row>
    <row r="203" spans="1:13" ht="14.4" x14ac:dyDescent="0.3">
      <c r="A203" s="189" t="str">
        <f ca="1">IFERROR(__xludf.DUMMYFUNCTION("""COMPUTED_VALUE"""),"CH")</f>
        <v>CH</v>
      </c>
      <c r="B203" s="195" t="str">
        <f ca="1">IFERROR(__xludf.DUMMYFUNCTION("""COMPUTED_VALUE"""),"Nate Butler")</f>
        <v>Nate Butler</v>
      </c>
      <c r="C203" s="189">
        <f ca="1">IFERROR(__xludf.DUMMYFUNCTION("""COMPUTED_VALUE"""),14)</f>
        <v>14</v>
      </c>
      <c r="D203" s="189" t="str">
        <f ca="1">IFERROR(__xludf.DUMMYFUNCTION("""COMPUTED_VALUE"""),"B")</f>
        <v>B</v>
      </c>
      <c r="E203" s="189" t="str">
        <f ca="1">IFERROR(__xludf.DUMMYFUNCTION("""COMPUTED_VALUE"""),"I")</f>
        <v>I</v>
      </c>
      <c r="F203" s="189" t="str">
        <f ca="1">IFERROR(__xludf.DUMMYFUNCTION("""COMPUTED_VALUE"""),"S")</f>
        <v>S</v>
      </c>
      <c r="G203" s="189">
        <f ca="1">IFERROR(__xludf.DUMMYFUNCTION("""COMPUTED_VALUE"""),5)</f>
        <v>5</v>
      </c>
      <c r="H203" s="196" t="s">
        <v>113</v>
      </c>
      <c r="I203" s="196"/>
      <c r="J203" s="196" t="s">
        <v>29</v>
      </c>
      <c r="K203" s="196"/>
      <c r="L203" s="196" t="str">
        <v xml:space="preserve"> 92.75</v>
      </c>
      <c r="M203" s="196"/>
    </row>
    <row r="204" spans="1:13" ht="14.4" x14ac:dyDescent="0.3">
      <c r="A204" s="189" t="str">
        <f ca="1">IFERROR(__xludf.DUMMYFUNCTION("""COMPUTED_VALUE"""),"CH")</f>
        <v>CH</v>
      </c>
      <c r="B204" s="195" t="str">
        <f ca="1">IFERROR(__xludf.DUMMYFUNCTION("""COMPUTED_VALUE"""),"Noah Gatewood")</f>
        <v>Noah Gatewood</v>
      </c>
      <c r="C204" s="189">
        <f ca="1">IFERROR(__xludf.DUMMYFUNCTION("""COMPUTED_VALUE"""),13)</f>
        <v>13</v>
      </c>
      <c r="D204" s="189" t="str">
        <f ca="1">IFERROR(__xludf.DUMMYFUNCTION("""COMPUTED_VALUE"""),"B")</f>
        <v>B</v>
      </c>
      <c r="E204" s="189" t="str">
        <f ca="1">IFERROR(__xludf.DUMMYFUNCTION("""COMPUTED_VALUE"""),"I")</f>
        <v>I</v>
      </c>
      <c r="F204" s="189" t="str">
        <f ca="1">IFERROR(__xludf.DUMMYFUNCTION("""COMPUTED_VALUE"""),"S")</f>
        <v>S</v>
      </c>
      <c r="G204" s="189">
        <f ca="1">IFERROR(__xludf.DUMMYFUNCTION("""COMPUTED_VALUE"""),5)</f>
        <v>5</v>
      </c>
      <c r="H204" s="196"/>
      <c r="I204" s="196"/>
      <c r="J204" s="196"/>
      <c r="K204" s="196"/>
      <c r="L204" s="196" t="str">
        <v/>
      </c>
      <c r="M204" s="196"/>
    </row>
    <row r="205" spans="1:13" ht="14.4" x14ac:dyDescent="0.3">
      <c r="A205" s="189" t="str">
        <f ca="1">IFERROR(__xludf.DUMMYFUNCTION("""COMPUTED_VALUE"""),"CH")</f>
        <v>CH</v>
      </c>
      <c r="B205" s="195" t="str">
        <f ca="1">IFERROR(__xludf.DUMMYFUNCTION("""COMPUTED_VALUE"""),"Alice Uhl")</f>
        <v>Alice Uhl</v>
      </c>
      <c r="C205" s="189">
        <f ca="1">IFERROR(__xludf.DUMMYFUNCTION("""COMPUTED_VALUE"""),12)</f>
        <v>12</v>
      </c>
      <c r="D205" s="189" t="str">
        <f ca="1">IFERROR(__xludf.DUMMYFUNCTION("""COMPUTED_VALUE"""),"G")</f>
        <v>G</v>
      </c>
      <c r="E205" s="189" t="str">
        <f ca="1">IFERROR(__xludf.DUMMYFUNCTION("""COMPUTED_VALUE"""),"J")</f>
        <v>J</v>
      </c>
      <c r="F205" s="189" t="str">
        <f ca="1">IFERROR(__xludf.DUMMYFUNCTION("""COMPUTED_VALUE"""),"I")</f>
        <v>I</v>
      </c>
      <c r="G205" s="189">
        <f ca="1">IFERROR(__xludf.DUMMYFUNCTION("""COMPUTED_VALUE"""),5)</f>
        <v>5</v>
      </c>
      <c r="H205" s="196"/>
      <c r="I205" s="196"/>
      <c r="J205" s="196"/>
      <c r="K205" s="196"/>
      <c r="L205" s="196" t="str">
        <v/>
      </c>
      <c r="M205" s="196"/>
    </row>
    <row r="206" spans="1:13" ht="14.4" x14ac:dyDescent="0.3">
      <c r="A206" s="189" t="str">
        <f ca="1">IFERROR(__xludf.DUMMYFUNCTION("""COMPUTED_VALUE"""),"CH")</f>
        <v>CH</v>
      </c>
      <c r="B206" s="195" t="str">
        <f ca="1">IFERROR(__xludf.DUMMYFUNCTION("""COMPUTED_VALUE"""),"Brooklyn Brabender")</f>
        <v>Brooklyn Brabender</v>
      </c>
      <c r="C206" s="189">
        <f ca="1">IFERROR(__xludf.DUMMYFUNCTION("""COMPUTED_VALUE"""),12)</f>
        <v>12</v>
      </c>
      <c r="D206" s="189" t="str">
        <f ca="1">IFERROR(__xludf.DUMMYFUNCTION("""COMPUTED_VALUE"""),"G")</f>
        <v>G</v>
      </c>
      <c r="E206" s="189" t="str">
        <f ca="1">IFERROR(__xludf.DUMMYFUNCTION("""COMPUTED_VALUE"""),"J")</f>
        <v>J</v>
      </c>
      <c r="F206" s="189" t="str">
        <f ca="1">IFERROR(__xludf.DUMMYFUNCTION("""COMPUTED_VALUE"""),"I")</f>
        <v>I</v>
      </c>
      <c r="G206" s="189">
        <f ca="1">IFERROR(__xludf.DUMMYFUNCTION("""COMPUTED_VALUE"""),5)</f>
        <v>5</v>
      </c>
      <c r="H206" s="196" t="s">
        <v>114</v>
      </c>
      <c r="I206" s="196"/>
      <c r="J206" s="196" t="s">
        <v>29</v>
      </c>
      <c r="K206" s="196"/>
      <c r="L206" s="196" t="str">
        <v xml:space="preserve"> 78.00</v>
      </c>
      <c r="M206" s="196"/>
    </row>
    <row r="207" spans="1:13" ht="14.4" x14ac:dyDescent="0.3">
      <c r="A207" s="189" t="str">
        <f ca="1">IFERROR(__xludf.DUMMYFUNCTION("""COMPUTED_VALUE"""),"CH")</f>
        <v>CH</v>
      </c>
      <c r="B207" s="195" t="str">
        <f ca="1">IFERROR(__xludf.DUMMYFUNCTION("""COMPUTED_VALUE"""),"Chloe Lee")</f>
        <v>Chloe Lee</v>
      </c>
      <c r="C207" s="189">
        <f ca="1">IFERROR(__xludf.DUMMYFUNCTION("""COMPUTED_VALUE"""),11)</f>
        <v>11</v>
      </c>
      <c r="D207" s="189" t="str">
        <f ca="1">IFERROR(__xludf.DUMMYFUNCTION("""COMPUTED_VALUE"""),"G")</f>
        <v>G</v>
      </c>
      <c r="E207" s="189" t="str">
        <f ca="1">IFERROR(__xludf.DUMMYFUNCTION("""COMPUTED_VALUE"""),"J")</f>
        <v>J</v>
      </c>
      <c r="F207" s="189" t="str">
        <f ca="1">IFERROR(__xludf.DUMMYFUNCTION("""COMPUTED_VALUE"""),"I")</f>
        <v>I</v>
      </c>
      <c r="G207" s="189">
        <f ca="1">IFERROR(__xludf.DUMMYFUNCTION("""COMPUTED_VALUE"""),5)</f>
        <v>5</v>
      </c>
      <c r="H207" s="196"/>
      <c r="I207" s="196"/>
      <c r="J207" s="196"/>
      <c r="K207" s="196"/>
      <c r="L207" s="196" t="str">
        <v/>
      </c>
      <c r="M207" s="196"/>
    </row>
    <row r="208" spans="1:13" ht="14.4" x14ac:dyDescent="0.3">
      <c r="A208" s="189" t="str">
        <f ca="1">IFERROR(__xludf.DUMMYFUNCTION("""COMPUTED_VALUE"""),"CH")</f>
        <v>CH</v>
      </c>
      <c r="B208" s="195" t="str">
        <f ca="1">IFERROR(__xludf.DUMMYFUNCTION("""COMPUTED_VALUE"""),"Chloe Salmons")</f>
        <v>Chloe Salmons</v>
      </c>
      <c r="C208" s="189">
        <f ca="1">IFERROR(__xludf.DUMMYFUNCTION("""COMPUTED_VALUE"""),12)</f>
        <v>12</v>
      </c>
      <c r="D208" s="189" t="str">
        <f ca="1">IFERROR(__xludf.DUMMYFUNCTION("""COMPUTED_VALUE"""),"G")</f>
        <v>G</v>
      </c>
      <c r="E208" s="189" t="str">
        <f ca="1">IFERROR(__xludf.DUMMYFUNCTION("""COMPUTED_VALUE"""),"J")</f>
        <v>J</v>
      </c>
      <c r="F208" s="189" t="str">
        <f ca="1">IFERROR(__xludf.DUMMYFUNCTION("""COMPUTED_VALUE"""),"I")</f>
        <v>I</v>
      </c>
      <c r="G208" s="189">
        <f ca="1">IFERROR(__xludf.DUMMYFUNCTION("""COMPUTED_VALUE"""),5)</f>
        <v>5</v>
      </c>
      <c r="H208" s="196"/>
      <c r="I208" s="196"/>
      <c r="J208" s="196"/>
      <c r="K208" s="196"/>
      <c r="L208" s="196" t="str">
        <v/>
      </c>
      <c r="M208" s="196"/>
    </row>
    <row r="209" spans="1:13" ht="14.4" x14ac:dyDescent="0.3">
      <c r="A209" s="189" t="str">
        <f ca="1">IFERROR(__xludf.DUMMYFUNCTION("""COMPUTED_VALUE"""),"CH")</f>
        <v>CH</v>
      </c>
      <c r="B209" s="195" t="str">
        <f ca="1">IFERROR(__xludf.DUMMYFUNCTION("""COMPUTED_VALUE"""),"Ellie Gilman")</f>
        <v>Ellie Gilman</v>
      </c>
      <c r="C209" s="189">
        <f ca="1">IFERROR(__xludf.DUMMYFUNCTION("""COMPUTED_VALUE"""),12)</f>
        <v>12</v>
      </c>
      <c r="D209" s="189" t="str">
        <f ca="1">IFERROR(__xludf.DUMMYFUNCTION("""COMPUTED_VALUE"""),"G")</f>
        <v>G</v>
      </c>
      <c r="E209" s="189" t="str">
        <f ca="1">IFERROR(__xludf.DUMMYFUNCTION("""COMPUTED_VALUE"""),"J")</f>
        <v>J</v>
      </c>
      <c r="F209" s="189" t="str">
        <f ca="1">IFERROR(__xludf.DUMMYFUNCTION("""COMPUTED_VALUE"""),"I")</f>
        <v>I</v>
      </c>
      <c r="G209" s="189">
        <f ca="1">IFERROR(__xludf.DUMMYFUNCTION("""COMPUTED_VALUE"""),5)</f>
        <v>5</v>
      </c>
      <c r="H209" s="196" t="s">
        <v>115</v>
      </c>
      <c r="I209" s="196"/>
      <c r="J209" s="196" t="s">
        <v>29</v>
      </c>
      <c r="K209" s="196"/>
      <c r="L209" s="196" t="str">
        <v xml:space="preserve"> 88.35</v>
      </c>
      <c r="M209" s="196"/>
    </row>
    <row r="210" spans="1:13" ht="14.4" x14ac:dyDescent="0.3">
      <c r="A210" s="189" t="str">
        <f ca="1">IFERROR(__xludf.DUMMYFUNCTION("""COMPUTED_VALUE"""),"CH")</f>
        <v>CH</v>
      </c>
      <c r="B210" s="195" t="str">
        <f ca="1">IFERROR(__xludf.DUMMYFUNCTION("""COMPUTED_VALUE"""),"Emily Lauffer")</f>
        <v>Emily Lauffer</v>
      </c>
      <c r="C210" s="189">
        <f ca="1">IFERROR(__xludf.DUMMYFUNCTION("""COMPUTED_VALUE"""),12)</f>
        <v>12</v>
      </c>
      <c r="D210" s="189" t="str">
        <f ca="1">IFERROR(__xludf.DUMMYFUNCTION("""COMPUTED_VALUE"""),"G")</f>
        <v>G</v>
      </c>
      <c r="E210" s="189" t="str">
        <f ca="1">IFERROR(__xludf.DUMMYFUNCTION("""COMPUTED_VALUE"""),"J")</f>
        <v>J</v>
      </c>
      <c r="F210" s="189" t="str">
        <f ca="1">IFERROR(__xludf.DUMMYFUNCTION("""COMPUTED_VALUE"""),"I")</f>
        <v>I</v>
      </c>
      <c r="G210" s="189">
        <f ca="1">IFERROR(__xludf.DUMMYFUNCTION("""COMPUTED_VALUE"""),5)</f>
        <v>5</v>
      </c>
      <c r="H210" s="196"/>
      <c r="I210" s="196"/>
      <c r="J210" s="196"/>
      <c r="K210" s="196"/>
      <c r="L210" s="196" t="str">
        <v/>
      </c>
      <c r="M210" s="196"/>
    </row>
    <row r="211" spans="1:13" ht="14.4" x14ac:dyDescent="0.3">
      <c r="A211" s="189" t="str">
        <f ca="1">IFERROR(__xludf.DUMMYFUNCTION("""COMPUTED_VALUE"""),"CH")</f>
        <v>CH</v>
      </c>
      <c r="B211" s="195" t="str">
        <f ca="1">IFERROR(__xludf.DUMMYFUNCTION("""COMPUTED_VALUE"""),"Emily Zahalsky")</f>
        <v>Emily Zahalsky</v>
      </c>
      <c r="C211" s="189">
        <f ca="1">IFERROR(__xludf.DUMMYFUNCTION("""COMPUTED_VALUE"""),11)</f>
        <v>11</v>
      </c>
      <c r="D211" s="189" t="str">
        <f ca="1">IFERROR(__xludf.DUMMYFUNCTION("""COMPUTED_VALUE"""),"G")</f>
        <v>G</v>
      </c>
      <c r="E211" s="189" t="str">
        <f ca="1">IFERROR(__xludf.DUMMYFUNCTION("""COMPUTED_VALUE"""),"J")</f>
        <v>J</v>
      </c>
      <c r="F211" s="189" t="str">
        <f ca="1">IFERROR(__xludf.DUMMYFUNCTION("""COMPUTED_VALUE"""),"I")</f>
        <v>I</v>
      </c>
      <c r="G211" s="189">
        <f ca="1">IFERROR(__xludf.DUMMYFUNCTION("""COMPUTED_VALUE"""),5)</f>
        <v>5</v>
      </c>
      <c r="H211" s="196"/>
      <c r="I211" s="196"/>
      <c r="J211" s="196"/>
      <c r="K211" s="196"/>
      <c r="L211" s="196" t="str">
        <v/>
      </c>
      <c r="M211" s="196"/>
    </row>
    <row r="212" spans="1:13" ht="14.4" x14ac:dyDescent="0.3">
      <c r="A212" s="189" t="str">
        <f ca="1">IFERROR(__xludf.DUMMYFUNCTION("""COMPUTED_VALUE"""),"CH")</f>
        <v>CH</v>
      </c>
      <c r="B212" s="195" t="str">
        <f ca="1">IFERROR(__xludf.DUMMYFUNCTION("""COMPUTED_VALUE"""),"Marianna McKinnon")</f>
        <v>Marianna McKinnon</v>
      </c>
      <c r="C212" s="189">
        <f ca="1">IFERROR(__xludf.DUMMYFUNCTION("""COMPUTED_VALUE"""),12)</f>
        <v>12</v>
      </c>
      <c r="D212" s="189" t="str">
        <f ca="1">IFERROR(__xludf.DUMMYFUNCTION("""COMPUTED_VALUE"""),"G")</f>
        <v>G</v>
      </c>
      <c r="E212" s="189" t="str">
        <f ca="1">IFERROR(__xludf.DUMMYFUNCTION("""COMPUTED_VALUE"""),"J")</f>
        <v>J</v>
      </c>
      <c r="F212" s="189" t="str">
        <f ca="1">IFERROR(__xludf.DUMMYFUNCTION("""COMPUTED_VALUE"""),"I")</f>
        <v>I</v>
      </c>
      <c r="G212" s="189">
        <f ca="1">IFERROR(__xludf.DUMMYFUNCTION("""COMPUTED_VALUE"""),5)</f>
        <v>5</v>
      </c>
      <c r="H212" s="196" t="s">
        <v>116</v>
      </c>
      <c r="I212" s="196"/>
      <c r="J212" s="196" t="s">
        <v>29</v>
      </c>
      <c r="K212" s="196"/>
      <c r="L212" s="196" t="str">
        <v xml:space="preserve"> 88.15</v>
      </c>
      <c r="M212" s="196"/>
    </row>
    <row r="213" spans="1:13" ht="14.4" x14ac:dyDescent="0.3">
      <c r="A213" s="189" t="str">
        <f ca="1">IFERROR(__xludf.DUMMYFUNCTION("""COMPUTED_VALUE"""),"CH")</f>
        <v>CH</v>
      </c>
      <c r="B213" s="195" t="str">
        <f ca="1">IFERROR(__xludf.DUMMYFUNCTION("""COMPUTED_VALUE"""),"Mattie Lechtman")</f>
        <v>Mattie Lechtman</v>
      </c>
      <c r="C213" s="189">
        <f ca="1">IFERROR(__xludf.DUMMYFUNCTION("""COMPUTED_VALUE"""),11)</f>
        <v>11</v>
      </c>
      <c r="D213" s="189" t="str">
        <f ca="1">IFERROR(__xludf.DUMMYFUNCTION("""COMPUTED_VALUE"""),"G")</f>
        <v>G</v>
      </c>
      <c r="E213" s="189" t="str">
        <f ca="1">IFERROR(__xludf.DUMMYFUNCTION("""COMPUTED_VALUE"""),"J")</f>
        <v>J</v>
      </c>
      <c r="F213" s="189" t="str">
        <f ca="1">IFERROR(__xludf.DUMMYFUNCTION("""COMPUTED_VALUE"""),"I")</f>
        <v>I</v>
      </c>
      <c r="G213" s="189">
        <f ca="1">IFERROR(__xludf.DUMMYFUNCTION("""COMPUTED_VALUE"""),5)</f>
        <v>5</v>
      </c>
      <c r="H213" s="196"/>
      <c r="I213" s="196"/>
      <c r="J213" s="196"/>
      <c r="K213" s="196"/>
      <c r="L213" s="196" t="str">
        <v/>
      </c>
      <c r="M213" s="196"/>
    </row>
    <row r="214" spans="1:13" ht="14.4" x14ac:dyDescent="0.3">
      <c r="A214" s="189" t="str">
        <f ca="1">IFERROR(__xludf.DUMMYFUNCTION("""COMPUTED_VALUE"""),"CH")</f>
        <v>CH</v>
      </c>
      <c r="B214" s="195" t="str">
        <f ca="1">IFERROR(__xludf.DUMMYFUNCTION("""COMPUTED_VALUE"""),"Tabby Shimooka")</f>
        <v>Tabby Shimooka</v>
      </c>
      <c r="C214" s="189">
        <f ca="1">IFERROR(__xludf.DUMMYFUNCTION("""COMPUTED_VALUE"""),12)</f>
        <v>12</v>
      </c>
      <c r="D214" s="189" t="str">
        <f ca="1">IFERROR(__xludf.DUMMYFUNCTION("""COMPUTED_VALUE"""),"G")</f>
        <v>G</v>
      </c>
      <c r="E214" s="189" t="str">
        <f ca="1">IFERROR(__xludf.DUMMYFUNCTION("""COMPUTED_VALUE"""),"J")</f>
        <v>J</v>
      </c>
      <c r="F214" s="189" t="str">
        <f ca="1">IFERROR(__xludf.DUMMYFUNCTION("""COMPUTED_VALUE"""),"I")</f>
        <v>I</v>
      </c>
      <c r="G214" s="189">
        <f ca="1">IFERROR(__xludf.DUMMYFUNCTION("""COMPUTED_VALUE"""),5)</f>
        <v>5</v>
      </c>
      <c r="H214" s="196"/>
      <c r="I214" s="196"/>
      <c r="J214" s="196"/>
      <c r="K214" s="196"/>
      <c r="L214" s="196" t="str">
        <v/>
      </c>
      <c r="M214" s="196"/>
    </row>
    <row r="215" spans="1:13" ht="14.4" x14ac:dyDescent="0.3">
      <c r="A215" s="189" t="str">
        <f ca="1">IFERROR(__xludf.DUMMYFUNCTION("""COMPUTED_VALUE"""),"CH")</f>
        <v>CH</v>
      </c>
      <c r="B215" s="195" t="str">
        <f ca="1">IFERROR(__xludf.DUMMYFUNCTION("""COMPUTED_VALUE"""),"Alexander Halphen")</f>
        <v>Alexander Halphen</v>
      </c>
      <c r="C215" s="189">
        <f ca="1">IFERROR(__xludf.DUMMYFUNCTION("""COMPUTED_VALUE"""),12)</f>
        <v>12</v>
      </c>
      <c r="D215" s="189" t="str">
        <f ca="1">IFERROR(__xludf.DUMMYFUNCTION("""COMPUTED_VALUE"""),"B")</f>
        <v>B</v>
      </c>
      <c r="E215" s="189" t="str">
        <f ca="1">IFERROR(__xludf.DUMMYFUNCTION("""COMPUTED_VALUE"""),"J")</f>
        <v>J</v>
      </c>
      <c r="F215" s="189" t="str">
        <f ca="1">IFERROR(__xludf.DUMMYFUNCTION("""COMPUTED_VALUE"""),"I")</f>
        <v>I</v>
      </c>
      <c r="G215" s="189">
        <f ca="1">IFERROR(__xludf.DUMMYFUNCTION("""COMPUTED_VALUE"""),5)</f>
        <v>5</v>
      </c>
      <c r="H215" s="196" t="s">
        <v>117</v>
      </c>
      <c r="I215" s="196"/>
      <c r="J215" s="196" t="s">
        <v>29</v>
      </c>
      <c r="K215" s="196"/>
      <c r="L215" s="196" t="str">
        <v xml:space="preserve"> 59.65</v>
      </c>
      <c r="M215" s="196"/>
    </row>
    <row r="216" spans="1:13" ht="14.4" x14ac:dyDescent="0.3">
      <c r="A216" s="189" t="str">
        <f ca="1">IFERROR(__xludf.DUMMYFUNCTION("""COMPUTED_VALUE"""),"CH")</f>
        <v>CH</v>
      </c>
      <c r="B216" s="195" t="str">
        <f ca="1">IFERROR(__xludf.DUMMYFUNCTION("""COMPUTED_VALUE"""),"Bode Pierce")</f>
        <v>Bode Pierce</v>
      </c>
      <c r="C216" s="189">
        <f ca="1">IFERROR(__xludf.DUMMYFUNCTION("""COMPUTED_VALUE"""),12)</f>
        <v>12</v>
      </c>
      <c r="D216" s="189" t="str">
        <f ca="1">IFERROR(__xludf.DUMMYFUNCTION("""COMPUTED_VALUE"""),"B")</f>
        <v>B</v>
      </c>
      <c r="E216" s="189" t="str">
        <f ca="1">IFERROR(__xludf.DUMMYFUNCTION("""COMPUTED_VALUE"""),"J")</f>
        <v>J</v>
      </c>
      <c r="F216" s="189" t="str">
        <f ca="1">IFERROR(__xludf.DUMMYFUNCTION("""COMPUTED_VALUE"""),"I")</f>
        <v>I</v>
      </c>
      <c r="G216" s="189">
        <f ca="1">IFERROR(__xludf.DUMMYFUNCTION("""COMPUTED_VALUE"""),5)</f>
        <v>5</v>
      </c>
      <c r="H216" s="196"/>
      <c r="I216" s="196"/>
      <c r="J216" s="196"/>
      <c r="K216" s="196"/>
      <c r="L216" s="196" t="str">
        <v/>
      </c>
      <c r="M216" s="196"/>
    </row>
    <row r="217" spans="1:13" ht="14.4" x14ac:dyDescent="0.3">
      <c r="A217" s="189" t="str">
        <f ca="1">IFERROR(__xludf.DUMMYFUNCTION("""COMPUTED_VALUE"""),"CH")</f>
        <v>CH</v>
      </c>
      <c r="B217" s="195" t="str">
        <f ca="1">IFERROR(__xludf.DUMMYFUNCTION("""COMPUTED_VALUE"""),"Calvin Butler")</f>
        <v>Calvin Butler</v>
      </c>
      <c r="C217" s="189">
        <f ca="1">IFERROR(__xludf.DUMMYFUNCTION("""COMPUTED_VALUE"""),11)</f>
        <v>11</v>
      </c>
      <c r="D217" s="189" t="str">
        <f ca="1">IFERROR(__xludf.DUMMYFUNCTION("""COMPUTED_VALUE"""),"B")</f>
        <v>B</v>
      </c>
      <c r="E217" s="189" t="str">
        <f ca="1">IFERROR(__xludf.DUMMYFUNCTION("""COMPUTED_VALUE"""),"J")</f>
        <v>J</v>
      </c>
      <c r="F217" s="189" t="str">
        <f ca="1">IFERROR(__xludf.DUMMYFUNCTION("""COMPUTED_VALUE"""),"I")</f>
        <v>I</v>
      </c>
      <c r="G217" s="189">
        <f ca="1">IFERROR(__xludf.DUMMYFUNCTION("""COMPUTED_VALUE"""),5)</f>
        <v>5</v>
      </c>
      <c r="H217" s="196" t="s">
        <v>118</v>
      </c>
      <c r="I217" s="196"/>
      <c r="J217" s="196" t="s">
        <v>29</v>
      </c>
      <c r="K217" s="196"/>
      <c r="L217" s="196" t="str">
        <v xml:space="preserve"> 82.10</v>
      </c>
      <c r="M217" s="196"/>
    </row>
    <row r="218" spans="1:13" ht="14.4" x14ac:dyDescent="0.3">
      <c r="A218" s="189" t="str">
        <f ca="1">IFERROR(__xludf.DUMMYFUNCTION("""COMPUTED_VALUE"""),"CH")</f>
        <v>CH</v>
      </c>
      <c r="B218" s="195" t="str">
        <f ca="1">IFERROR(__xludf.DUMMYFUNCTION("""COMPUTED_VALUE"""),"Jayan Penn")</f>
        <v>Jayan Penn</v>
      </c>
      <c r="C218" s="189">
        <f ca="1">IFERROR(__xludf.DUMMYFUNCTION("""COMPUTED_VALUE"""),12)</f>
        <v>12</v>
      </c>
      <c r="D218" s="189" t="str">
        <f ca="1">IFERROR(__xludf.DUMMYFUNCTION("""COMPUTED_VALUE"""),"B")</f>
        <v>B</v>
      </c>
      <c r="E218" s="189" t="str">
        <f ca="1">IFERROR(__xludf.DUMMYFUNCTION("""COMPUTED_VALUE"""),"J")</f>
        <v>J</v>
      </c>
      <c r="F218" s="189" t="str">
        <f ca="1">IFERROR(__xludf.DUMMYFUNCTION("""COMPUTED_VALUE"""),"I")</f>
        <v>I</v>
      </c>
      <c r="G218" s="189">
        <f ca="1">IFERROR(__xludf.DUMMYFUNCTION("""COMPUTED_VALUE"""),5)</f>
        <v>5</v>
      </c>
      <c r="H218" s="196" t="s">
        <v>119</v>
      </c>
      <c r="I218" s="196"/>
      <c r="J218" s="196" t="s">
        <v>29</v>
      </c>
      <c r="K218" s="196"/>
      <c r="L218" s="196" t="str">
        <v xml:space="preserve"> 57.05</v>
      </c>
      <c r="M218" s="196"/>
    </row>
    <row r="219" spans="1:13" ht="14.4" x14ac:dyDescent="0.3">
      <c r="A219" s="189" t="str">
        <f ca="1">IFERROR(__xludf.DUMMYFUNCTION("""COMPUTED_VALUE"""),"CH")</f>
        <v>CH</v>
      </c>
      <c r="B219" s="195" t="str">
        <f ca="1">IFERROR(__xludf.DUMMYFUNCTION("""COMPUTED_VALUE"""),"Mario Ma")</f>
        <v>Mario Ma</v>
      </c>
      <c r="C219" s="189">
        <f ca="1">IFERROR(__xludf.DUMMYFUNCTION("""COMPUTED_VALUE"""),11)</f>
        <v>11</v>
      </c>
      <c r="D219" s="189" t="str">
        <f ca="1">IFERROR(__xludf.DUMMYFUNCTION("""COMPUTED_VALUE"""),"B")</f>
        <v>B</v>
      </c>
      <c r="E219" s="189" t="str">
        <f ca="1">IFERROR(__xludf.DUMMYFUNCTION("""COMPUTED_VALUE"""),"J")</f>
        <v>J</v>
      </c>
      <c r="F219" s="189" t="str">
        <f ca="1">IFERROR(__xludf.DUMMYFUNCTION("""COMPUTED_VALUE"""),"I")</f>
        <v>I</v>
      </c>
      <c r="G219" s="189">
        <f ca="1">IFERROR(__xludf.DUMMYFUNCTION("""COMPUTED_VALUE"""),5)</f>
        <v>5</v>
      </c>
      <c r="H219" s="196"/>
      <c r="I219" s="196"/>
      <c r="J219" s="196"/>
      <c r="K219" s="196"/>
      <c r="L219" s="196" t="str">
        <v/>
      </c>
      <c r="M219" s="196"/>
    </row>
    <row r="220" spans="1:13" ht="14.4" x14ac:dyDescent="0.3">
      <c r="A220" s="189" t="str">
        <f ca="1">IFERROR(__xludf.DUMMYFUNCTION("""COMPUTED_VALUE"""),"CH")</f>
        <v>CH</v>
      </c>
      <c r="B220" s="195" t="str">
        <f ca="1">IFERROR(__xludf.DUMMYFUNCTION("""COMPUTED_VALUE"""),"Maximus Tabrizi")</f>
        <v>Maximus Tabrizi</v>
      </c>
      <c r="C220" s="189">
        <f ca="1">IFERROR(__xludf.DUMMYFUNCTION("""COMPUTED_VALUE"""),11)</f>
        <v>11</v>
      </c>
      <c r="D220" s="189" t="str">
        <f ca="1">IFERROR(__xludf.DUMMYFUNCTION("""COMPUTED_VALUE"""),"B")</f>
        <v>B</v>
      </c>
      <c r="E220" s="189" t="str">
        <f ca="1">IFERROR(__xludf.DUMMYFUNCTION("""COMPUTED_VALUE"""),"J")</f>
        <v>J</v>
      </c>
      <c r="F220" s="189" t="str">
        <f ca="1">IFERROR(__xludf.DUMMYFUNCTION("""COMPUTED_VALUE"""),"I")</f>
        <v>I</v>
      </c>
      <c r="G220" s="189">
        <f ca="1">IFERROR(__xludf.DUMMYFUNCTION("""COMPUTED_VALUE"""),5)</f>
        <v>5</v>
      </c>
      <c r="H220" s="196"/>
      <c r="I220" s="196"/>
      <c r="J220" s="196"/>
      <c r="K220" s="196"/>
      <c r="L220" s="196" t="str">
        <v/>
      </c>
      <c r="M220" s="196"/>
    </row>
    <row r="221" spans="1:13" ht="14.4" x14ac:dyDescent="0.3">
      <c r="A221" s="189" t="str">
        <f ca="1">IFERROR(__xludf.DUMMYFUNCTION("""COMPUTED_VALUE"""),"CH")</f>
        <v>CH</v>
      </c>
      <c r="B221" s="195" t="str">
        <f ca="1">IFERROR(__xludf.DUMMYFUNCTION("""COMPUTED_VALUE"""),"Oliver Jarvis")</f>
        <v>Oliver Jarvis</v>
      </c>
      <c r="C221" s="189">
        <f ca="1">IFERROR(__xludf.DUMMYFUNCTION("""COMPUTED_VALUE"""),11)</f>
        <v>11</v>
      </c>
      <c r="D221" s="189" t="str">
        <f ca="1">IFERROR(__xludf.DUMMYFUNCTION("""COMPUTED_VALUE"""),"B")</f>
        <v>B</v>
      </c>
      <c r="E221" s="189" t="str">
        <f ca="1">IFERROR(__xludf.DUMMYFUNCTION("""COMPUTED_VALUE"""),"J")</f>
        <v>J</v>
      </c>
      <c r="F221" s="189" t="str">
        <f ca="1">IFERROR(__xludf.DUMMYFUNCTION("""COMPUTED_VALUE"""),"I")</f>
        <v>I</v>
      </c>
      <c r="G221" s="189">
        <f ca="1">IFERROR(__xludf.DUMMYFUNCTION("""COMPUTED_VALUE"""),5)</f>
        <v>5</v>
      </c>
      <c r="H221" s="196"/>
      <c r="I221" s="196"/>
      <c r="J221" s="196"/>
      <c r="K221" s="196"/>
      <c r="L221" s="196" t="str">
        <v/>
      </c>
      <c r="M221" s="196"/>
    </row>
    <row r="222" spans="1:13" ht="14.4" x14ac:dyDescent="0.3">
      <c r="A222" s="189" t="str">
        <f ca="1">IFERROR(__xludf.DUMMYFUNCTION("""COMPUTED_VALUE"""),"CH")</f>
        <v>CH</v>
      </c>
      <c r="B222" s="195" t="str">
        <f ca="1">IFERROR(__xludf.DUMMYFUNCTION("""COMPUTED_VALUE"""),"William Beck")</f>
        <v>William Beck</v>
      </c>
      <c r="C222" s="189">
        <f ca="1">IFERROR(__xludf.DUMMYFUNCTION("""COMPUTED_VALUE"""),12)</f>
        <v>12</v>
      </c>
      <c r="D222" s="189" t="str">
        <f ca="1">IFERROR(__xludf.DUMMYFUNCTION("""COMPUTED_VALUE"""),"B")</f>
        <v>B</v>
      </c>
      <c r="E222" s="189" t="str">
        <f ca="1">IFERROR(__xludf.DUMMYFUNCTION("""COMPUTED_VALUE"""),"J")</f>
        <v>J</v>
      </c>
      <c r="F222" s="189" t="str">
        <f ca="1">IFERROR(__xludf.DUMMYFUNCTION("""COMPUTED_VALUE"""),"I")</f>
        <v>I</v>
      </c>
      <c r="G222" s="189">
        <f ca="1">IFERROR(__xludf.DUMMYFUNCTION("""COMPUTED_VALUE"""),5)</f>
        <v>5</v>
      </c>
      <c r="H222" s="196"/>
      <c r="I222" s="196"/>
      <c r="J222" s="196"/>
      <c r="K222" s="196"/>
      <c r="L222" s="196" t="str">
        <v/>
      </c>
      <c r="M222" s="196"/>
    </row>
    <row r="223" spans="1:13" ht="14.4" x14ac:dyDescent="0.3">
      <c r="A223" s="189" t="str">
        <f ca="1">IFERROR(__xludf.DUMMYFUNCTION("""COMPUTED_VALUE"""),"CH")</f>
        <v>CH</v>
      </c>
      <c r="B223" s="195" t="str">
        <f ca="1">IFERROR(__xludf.DUMMYFUNCTION("""COMPUTED_VALUE"""),"Ali Gurganus")</f>
        <v>Ali Gurganus</v>
      </c>
      <c r="C223" s="189">
        <f ca="1">IFERROR(__xludf.DUMMYFUNCTION("""COMPUTED_VALUE"""),15)</f>
        <v>15</v>
      </c>
      <c r="D223" s="189" t="str">
        <f ca="1">IFERROR(__xludf.DUMMYFUNCTION("""COMPUTED_VALUE"""),"G")</f>
        <v>G</v>
      </c>
      <c r="E223" s="189" t="str">
        <f ca="1">IFERROR(__xludf.DUMMYFUNCTION("""COMPUTED_VALUE"""),"S")</f>
        <v>S</v>
      </c>
      <c r="F223" s="189" t="str">
        <f ca="1">IFERROR(__xludf.DUMMYFUNCTION("""COMPUTED_VALUE"""),"S")</f>
        <v>S</v>
      </c>
      <c r="G223" s="189">
        <f ca="1">IFERROR(__xludf.DUMMYFUNCTION("""COMPUTED_VALUE"""),5)</f>
        <v>5</v>
      </c>
      <c r="H223" s="196"/>
      <c r="I223" s="196"/>
      <c r="J223" s="196"/>
      <c r="K223" s="196"/>
      <c r="L223" s="196" t="str">
        <v/>
      </c>
      <c r="M223" s="196"/>
    </row>
    <row r="224" spans="1:13" ht="14.4" x14ac:dyDescent="0.3">
      <c r="A224" s="189" t="str">
        <f ca="1">IFERROR(__xludf.DUMMYFUNCTION("""COMPUTED_VALUE"""),"CH")</f>
        <v>CH</v>
      </c>
      <c r="B224" s="195" t="str">
        <f ca="1">IFERROR(__xludf.DUMMYFUNCTION("""COMPUTED_VALUE"""),"Allie Reback")</f>
        <v>Allie Reback</v>
      </c>
      <c r="C224" s="189">
        <f ca="1">IFERROR(__xludf.DUMMYFUNCTION("""COMPUTED_VALUE"""),17)</f>
        <v>17</v>
      </c>
      <c r="D224" s="189" t="str">
        <f ca="1">IFERROR(__xludf.DUMMYFUNCTION("""COMPUTED_VALUE"""),"G")</f>
        <v>G</v>
      </c>
      <c r="E224" s="189" t="str">
        <f ca="1">IFERROR(__xludf.DUMMYFUNCTION("""COMPUTED_VALUE"""),"S")</f>
        <v>S</v>
      </c>
      <c r="F224" s="189" t="str">
        <f ca="1">IFERROR(__xludf.DUMMYFUNCTION("""COMPUTED_VALUE"""),"S")</f>
        <v>S</v>
      </c>
      <c r="G224" s="189">
        <f ca="1">IFERROR(__xludf.DUMMYFUNCTION("""COMPUTED_VALUE"""),5)</f>
        <v>5</v>
      </c>
      <c r="H224" s="196" t="s">
        <v>120</v>
      </c>
      <c r="I224" s="196"/>
      <c r="J224" s="196" t="s">
        <v>29</v>
      </c>
      <c r="K224" s="196"/>
      <c r="L224" s="196" t="str">
        <v xml:space="preserve"> 169.50</v>
      </c>
      <c r="M224" s="196"/>
    </row>
    <row r="225" spans="1:13" ht="14.4" x14ac:dyDescent="0.3">
      <c r="A225" s="189" t="str">
        <f ca="1">IFERROR(__xludf.DUMMYFUNCTION("""COMPUTED_VALUE"""),"CH")</f>
        <v>CH</v>
      </c>
      <c r="B225" s="195" t="str">
        <f ca="1">IFERROR(__xludf.DUMMYFUNCTION("""COMPUTED_VALUE"""),"Caitlin Holtaway")</f>
        <v>Caitlin Holtaway</v>
      </c>
      <c r="C225" s="189">
        <f ca="1">IFERROR(__xludf.DUMMYFUNCTION("""COMPUTED_VALUE"""),15)</f>
        <v>15</v>
      </c>
      <c r="D225" s="189" t="str">
        <f ca="1">IFERROR(__xludf.DUMMYFUNCTION("""COMPUTED_VALUE"""),"G")</f>
        <v>G</v>
      </c>
      <c r="E225" s="189" t="str">
        <f ca="1">IFERROR(__xludf.DUMMYFUNCTION("""COMPUTED_VALUE"""),"S")</f>
        <v>S</v>
      </c>
      <c r="F225" s="189" t="str">
        <f ca="1">IFERROR(__xludf.DUMMYFUNCTION("""COMPUTED_VALUE"""),"S")</f>
        <v>S</v>
      </c>
      <c r="G225" s="189">
        <f ca="1">IFERROR(__xludf.DUMMYFUNCTION("""COMPUTED_VALUE"""),5)</f>
        <v>5</v>
      </c>
      <c r="H225" s="196" t="s">
        <v>121</v>
      </c>
      <c r="I225" s="196"/>
      <c r="J225" s="196" t="s">
        <v>29</v>
      </c>
      <c r="K225" s="196"/>
      <c r="L225" s="196" t="str">
        <v xml:space="preserve"> 146.00</v>
      </c>
      <c r="M225" s="196"/>
    </row>
    <row r="226" spans="1:13" ht="14.4" x14ac:dyDescent="0.3">
      <c r="A226" s="189" t="str">
        <f ca="1">IFERROR(__xludf.DUMMYFUNCTION("""COMPUTED_VALUE"""),"CH")</f>
        <v>CH</v>
      </c>
      <c r="B226" s="195" t="str">
        <f ca="1">IFERROR(__xludf.DUMMYFUNCTION("""COMPUTED_VALUE"""),"Dani Rothman")</f>
        <v>Dani Rothman</v>
      </c>
      <c r="C226" s="189">
        <f ca="1">IFERROR(__xludf.DUMMYFUNCTION("""COMPUTED_VALUE"""),15)</f>
        <v>15</v>
      </c>
      <c r="D226" s="189" t="str">
        <f ca="1">IFERROR(__xludf.DUMMYFUNCTION("""COMPUTED_VALUE"""),"G")</f>
        <v>G</v>
      </c>
      <c r="E226" s="189" t="str">
        <f ca="1">IFERROR(__xludf.DUMMYFUNCTION("""COMPUTED_VALUE"""),"S")</f>
        <v>S</v>
      </c>
      <c r="F226" s="189" t="str">
        <f ca="1">IFERROR(__xludf.DUMMYFUNCTION("""COMPUTED_VALUE"""),"S")</f>
        <v>S</v>
      </c>
      <c r="G226" s="189">
        <f ca="1">IFERROR(__xludf.DUMMYFUNCTION("""COMPUTED_VALUE"""),5)</f>
        <v>5</v>
      </c>
      <c r="H226" s="196"/>
      <c r="I226" s="196"/>
      <c r="J226" s="196"/>
      <c r="K226" s="196"/>
      <c r="L226" s="196" t="str">
        <v/>
      </c>
      <c r="M226" s="196"/>
    </row>
    <row r="227" spans="1:13" ht="14.4" x14ac:dyDescent="0.3">
      <c r="A227" s="189" t="str">
        <f ca="1">IFERROR(__xludf.DUMMYFUNCTION("""COMPUTED_VALUE"""),"CH")</f>
        <v>CH</v>
      </c>
      <c r="B227" s="195" t="str">
        <f ca="1">IFERROR(__xludf.DUMMYFUNCTION("""COMPUTED_VALUE"""),"Rebecca Rothman")</f>
        <v>Rebecca Rothman</v>
      </c>
      <c r="C227" s="189">
        <f ca="1">IFERROR(__xludf.DUMMYFUNCTION("""COMPUTED_VALUE"""),15)</f>
        <v>15</v>
      </c>
      <c r="D227" s="189" t="str">
        <f ca="1">IFERROR(__xludf.DUMMYFUNCTION("""COMPUTED_VALUE"""),"G")</f>
        <v>G</v>
      </c>
      <c r="E227" s="189" t="str">
        <f ca="1">IFERROR(__xludf.DUMMYFUNCTION("""COMPUTED_VALUE"""),"S")</f>
        <v>S</v>
      </c>
      <c r="F227" s="189" t="str">
        <f ca="1">IFERROR(__xludf.DUMMYFUNCTION("""COMPUTED_VALUE"""),"S")</f>
        <v>S</v>
      </c>
      <c r="G227" s="189">
        <f ca="1">IFERROR(__xludf.DUMMYFUNCTION("""COMPUTED_VALUE"""),5)</f>
        <v>5</v>
      </c>
      <c r="H227" s="196"/>
      <c r="I227" s="196"/>
      <c r="J227" s="196"/>
      <c r="K227" s="196"/>
      <c r="L227" s="196" t="str">
        <v/>
      </c>
      <c r="M227" s="196"/>
    </row>
    <row r="228" spans="1:13" ht="14.4" x14ac:dyDescent="0.3">
      <c r="A228" s="189" t="str">
        <f ca="1">IFERROR(__xludf.DUMMYFUNCTION("""COMPUTED_VALUE"""),"CH")</f>
        <v>CH</v>
      </c>
      <c r="B228" s="195" t="str">
        <f ca="1">IFERROR(__xludf.DUMMYFUNCTION("""COMPUTED_VALUE"""),"Sarah Manson")</f>
        <v>Sarah Manson</v>
      </c>
      <c r="C228" s="189">
        <f ca="1">IFERROR(__xludf.DUMMYFUNCTION("""COMPUTED_VALUE"""),18)</f>
        <v>18</v>
      </c>
      <c r="D228" s="189" t="str">
        <f ca="1">IFERROR(__xludf.DUMMYFUNCTION("""COMPUTED_VALUE"""),"G")</f>
        <v>G</v>
      </c>
      <c r="E228" s="189" t="str">
        <f ca="1">IFERROR(__xludf.DUMMYFUNCTION("""COMPUTED_VALUE"""),"S")</f>
        <v>S</v>
      </c>
      <c r="F228" s="189" t="str">
        <f ca="1">IFERROR(__xludf.DUMMYFUNCTION("""COMPUTED_VALUE"""),"S")</f>
        <v>S</v>
      </c>
      <c r="G228" s="189">
        <f ca="1">IFERROR(__xludf.DUMMYFUNCTION("""COMPUTED_VALUE"""),5)</f>
        <v>5</v>
      </c>
      <c r="H228" s="196" t="s">
        <v>122</v>
      </c>
      <c r="I228" s="196"/>
      <c r="J228" s="196" t="s">
        <v>29</v>
      </c>
      <c r="K228" s="196"/>
      <c r="L228" s="196" t="str">
        <v xml:space="preserve"> 153.20</v>
      </c>
      <c r="M228" s="196"/>
    </row>
    <row r="229" spans="1:13" ht="14.4" x14ac:dyDescent="0.3">
      <c r="A229" s="189" t="str">
        <f ca="1">IFERROR(__xludf.DUMMYFUNCTION("""COMPUTED_VALUE"""),"CH")</f>
        <v>CH</v>
      </c>
      <c r="B229" s="195" t="str">
        <f ca="1">IFERROR(__xludf.DUMMYFUNCTION("""COMPUTED_VALUE"""),"Shirin Abadian")</f>
        <v>Shirin Abadian</v>
      </c>
      <c r="C229" s="189">
        <f ca="1">IFERROR(__xludf.DUMMYFUNCTION("""COMPUTED_VALUE"""),17)</f>
        <v>17</v>
      </c>
      <c r="D229" s="189" t="str">
        <f ca="1">IFERROR(__xludf.DUMMYFUNCTION("""COMPUTED_VALUE"""),"G")</f>
        <v>G</v>
      </c>
      <c r="E229" s="189" t="str">
        <f ca="1">IFERROR(__xludf.DUMMYFUNCTION("""COMPUTED_VALUE"""),"S")</f>
        <v>S</v>
      </c>
      <c r="F229" s="189" t="str">
        <f ca="1">IFERROR(__xludf.DUMMYFUNCTION("""COMPUTED_VALUE"""),"S")</f>
        <v>S</v>
      </c>
      <c r="G229" s="189">
        <f ca="1">IFERROR(__xludf.DUMMYFUNCTION("""COMPUTED_VALUE"""),5)</f>
        <v>5</v>
      </c>
      <c r="H229" s="196"/>
      <c r="I229" s="196"/>
      <c r="J229" s="196"/>
      <c r="K229" s="196"/>
      <c r="L229" s="196" t="str">
        <v/>
      </c>
      <c r="M229" s="196"/>
    </row>
    <row r="230" spans="1:13" ht="14.4" x14ac:dyDescent="0.3">
      <c r="A230" s="189" t="str">
        <f ca="1">IFERROR(__xludf.DUMMYFUNCTION("""COMPUTED_VALUE"""),"CH")</f>
        <v>CH</v>
      </c>
      <c r="B230" s="195" t="str">
        <f ca="1">IFERROR(__xludf.DUMMYFUNCTION("""COMPUTED_VALUE"""),"Suki Golley")</f>
        <v>Suki Golley</v>
      </c>
      <c r="C230" s="189">
        <f ca="1">IFERROR(__xludf.DUMMYFUNCTION("""COMPUTED_VALUE"""),16)</f>
        <v>16</v>
      </c>
      <c r="D230" s="189" t="str">
        <f ca="1">IFERROR(__xludf.DUMMYFUNCTION("""COMPUTED_VALUE"""),"G")</f>
        <v>G</v>
      </c>
      <c r="E230" s="189" t="str">
        <f ca="1">IFERROR(__xludf.DUMMYFUNCTION("""COMPUTED_VALUE"""),"S")</f>
        <v>S</v>
      </c>
      <c r="F230" s="189" t="str">
        <f ca="1">IFERROR(__xludf.DUMMYFUNCTION("""COMPUTED_VALUE"""),"S")</f>
        <v>S</v>
      </c>
      <c r="G230" s="189">
        <f ca="1">IFERROR(__xludf.DUMMYFUNCTION("""COMPUTED_VALUE"""),5)</f>
        <v>5</v>
      </c>
      <c r="H230" s="196"/>
      <c r="I230" s="196"/>
      <c r="J230" s="196"/>
      <c r="K230" s="196"/>
      <c r="L230" s="196" t="str">
        <v/>
      </c>
      <c r="M230" s="196"/>
    </row>
    <row r="231" spans="1:13" ht="14.4" x14ac:dyDescent="0.3">
      <c r="A231" s="189" t="str">
        <f ca="1">IFERROR(__xludf.DUMMYFUNCTION("""COMPUTED_VALUE"""),"CH")</f>
        <v>CH</v>
      </c>
      <c r="B231" s="195" t="str">
        <f ca="1">IFERROR(__xludf.DUMMYFUNCTION("""COMPUTED_VALUE"""),"Nate Beck")</f>
        <v>Nate Beck</v>
      </c>
      <c r="C231" s="189">
        <f ca="1">IFERROR(__xludf.DUMMYFUNCTION("""COMPUTED_VALUE"""),15)</f>
        <v>15</v>
      </c>
      <c r="D231" s="189" t="str">
        <f ca="1">IFERROR(__xludf.DUMMYFUNCTION("""COMPUTED_VALUE"""),"B")</f>
        <v>B</v>
      </c>
      <c r="E231" s="189" t="str">
        <f ca="1">IFERROR(__xludf.DUMMYFUNCTION("""COMPUTED_VALUE"""),"S")</f>
        <v>S</v>
      </c>
      <c r="F231" s="189" t="str">
        <f ca="1">IFERROR(__xludf.DUMMYFUNCTION("""COMPUTED_VALUE"""),"S")</f>
        <v>S</v>
      </c>
      <c r="G231" s="189">
        <f ca="1">IFERROR(__xludf.DUMMYFUNCTION("""COMPUTED_VALUE"""),5)</f>
        <v>5</v>
      </c>
      <c r="H231" s="196"/>
      <c r="I231" s="196"/>
      <c r="J231" s="196"/>
      <c r="K231" s="196"/>
      <c r="L231" s="196" t="str">
        <v/>
      </c>
      <c r="M231" s="196"/>
    </row>
    <row r="232" spans="1:13" ht="14.4" x14ac:dyDescent="0.3">
      <c r="A232" s="189" t="str">
        <f ca="1">IFERROR(__xludf.DUMMYFUNCTION("""COMPUTED_VALUE"""),"CH")</f>
        <v>CH</v>
      </c>
      <c r="B232" s="195" t="str">
        <f ca="1">IFERROR(__xludf.DUMMYFUNCTION("""COMPUTED_VALUE"""),"Reed Clifton")</f>
        <v>Reed Clifton</v>
      </c>
      <c r="C232" s="189">
        <f ca="1">IFERROR(__xludf.DUMMYFUNCTION("""COMPUTED_VALUE"""),16)</f>
        <v>16</v>
      </c>
      <c r="D232" s="189" t="str">
        <f ca="1">IFERROR(__xludf.DUMMYFUNCTION("""COMPUTED_VALUE"""),"B")</f>
        <v>B</v>
      </c>
      <c r="E232" s="189" t="str">
        <f ca="1">IFERROR(__xludf.DUMMYFUNCTION("""COMPUTED_VALUE"""),"S")</f>
        <v>S</v>
      </c>
      <c r="F232" s="189" t="str">
        <f ca="1">IFERROR(__xludf.DUMMYFUNCTION("""COMPUTED_VALUE"""),"S")</f>
        <v>S</v>
      </c>
      <c r="G232" s="189">
        <f ca="1">IFERROR(__xludf.DUMMYFUNCTION("""COMPUTED_VALUE"""),5)</f>
        <v>5</v>
      </c>
      <c r="H232" s="196" t="s">
        <v>123</v>
      </c>
      <c r="I232" s="196"/>
      <c r="J232" s="196" t="s">
        <v>29</v>
      </c>
      <c r="K232" s="196"/>
      <c r="L232" s="196" t="str">
        <v xml:space="preserve"> 98.45</v>
      </c>
      <c r="M232" s="196"/>
    </row>
    <row r="233" spans="1:13" ht="14.4" x14ac:dyDescent="0.3">
      <c r="A233" s="189" t="str">
        <f ca="1">IFERROR(__xludf.DUMMYFUNCTION("""COMPUTED_VALUE"""),"CP")</f>
        <v>CP</v>
      </c>
      <c r="B233" s="195" t="str">
        <f ca="1">IFERROR(__xludf.DUMMYFUNCTION("""COMPUTED_VALUE"""),"Adelyn Whaley")</f>
        <v>Adelyn Whaley</v>
      </c>
      <c r="C233" s="189">
        <f ca="1">IFERROR(__xludf.DUMMYFUNCTION("""COMPUTED_VALUE"""),10)</f>
        <v>10</v>
      </c>
      <c r="D233" s="189" t="str">
        <f ca="1">IFERROR(__xludf.DUMMYFUNCTION("""COMPUTED_VALUE"""),"G")</f>
        <v>G</v>
      </c>
      <c r="E233" s="189" t="str">
        <f ca="1">IFERROR(__xludf.DUMMYFUNCTION("""COMPUTED_VALUE"""),"F")</f>
        <v>F</v>
      </c>
      <c r="F233" s="189" t="str">
        <f ca="1">IFERROR(__xludf.DUMMYFUNCTION("""COMPUTED_VALUE"""),"J")</f>
        <v>J</v>
      </c>
      <c r="G233" s="189">
        <f ca="1">IFERROR(__xludf.DUMMYFUNCTION("""COMPUTED_VALUE"""),5)</f>
        <v>5</v>
      </c>
      <c r="H233" s="196" t="s">
        <v>124</v>
      </c>
      <c r="I233" s="196"/>
      <c r="J233" s="196" t="s">
        <v>29</v>
      </c>
      <c r="K233" s="196"/>
      <c r="L233" s="196" t="str">
        <v xml:space="preserve"> 51.10</v>
      </c>
      <c r="M233" s="196"/>
    </row>
    <row r="234" spans="1:13" ht="14.4" x14ac:dyDescent="0.3">
      <c r="A234" s="189" t="str">
        <f ca="1">IFERROR(__xludf.DUMMYFUNCTION("""COMPUTED_VALUE"""),"CP")</f>
        <v>CP</v>
      </c>
      <c r="B234" s="195" t="str">
        <f ca="1">IFERROR(__xludf.DUMMYFUNCTION("""COMPUTED_VALUE"""),"Arianna Patrick")</f>
        <v>Arianna Patrick</v>
      </c>
      <c r="C234" s="189">
        <f ca="1">IFERROR(__xludf.DUMMYFUNCTION("""COMPUTED_VALUE"""),9)</f>
        <v>9</v>
      </c>
      <c r="D234" s="189" t="str">
        <f ca="1">IFERROR(__xludf.DUMMYFUNCTION("""COMPUTED_VALUE"""),"G")</f>
        <v>G</v>
      </c>
      <c r="E234" s="189" t="str">
        <f ca="1">IFERROR(__xludf.DUMMYFUNCTION("""COMPUTED_VALUE"""),"F")</f>
        <v>F</v>
      </c>
      <c r="F234" s="189" t="str">
        <f ca="1">IFERROR(__xludf.DUMMYFUNCTION("""COMPUTED_VALUE"""),"J")</f>
        <v>J</v>
      </c>
      <c r="G234" s="189">
        <f ca="1">IFERROR(__xludf.DUMMYFUNCTION("""COMPUTED_VALUE"""),5)</f>
        <v>5</v>
      </c>
      <c r="H234" s="196"/>
      <c r="I234" s="196"/>
      <c r="J234" s="196"/>
      <c r="K234" s="196"/>
      <c r="L234" s="196" t="str">
        <v/>
      </c>
      <c r="M234" s="196"/>
    </row>
    <row r="235" spans="1:13" ht="14.4" x14ac:dyDescent="0.3">
      <c r="A235" s="189" t="str">
        <f ca="1">IFERROR(__xludf.DUMMYFUNCTION("""COMPUTED_VALUE"""),"CP")</f>
        <v>CP</v>
      </c>
      <c r="B235" s="195" t="str">
        <f ca="1">IFERROR(__xludf.DUMMYFUNCTION("""COMPUTED_VALUE"""),"Ella Thomas")</f>
        <v>Ella Thomas</v>
      </c>
      <c r="C235" s="189">
        <f ca="1">IFERROR(__xludf.DUMMYFUNCTION("""COMPUTED_VALUE"""),9)</f>
        <v>9</v>
      </c>
      <c r="D235" s="189" t="str">
        <f ca="1">IFERROR(__xludf.DUMMYFUNCTION("""COMPUTED_VALUE"""),"G")</f>
        <v>G</v>
      </c>
      <c r="E235" s="189" t="str">
        <f ca="1">IFERROR(__xludf.DUMMYFUNCTION("""COMPUTED_VALUE"""),"F")</f>
        <v>F</v>
      </c>
      <c r="F235" s="189" t="str">
        <f ca="1">IFERROR(__xludf.DUMMYFUNCTION("""COMPUTED_VALUE"""),"J")</f>
        <v>J</v>
      </c>
      <c r="G235" s="189">
        <f ca="1">IFERROR(__xludf.DUMMYFUNCTION("""COMPUTED_VALUE"""),5)</f>
        <v>5</v>
      </c>
      <c r="H235" s="196"/>
      <c r="I235" s="196"/>
      <c r="J235" s="196"/>
      <c r="K235" s="196"/>
      <c r="L235" s="196" t="str">
        <v/>
      </c>
      <c r="M235" s="196"/>
    </row>
    <row r="236" spans="1:13" ht="14.4" x14ac:dyDescent="0.3">
      <c r="A236" s="189" t="str">
        <f ca="1">IFERROR(__xludf.DUMMYFUNCTION("""COMPUTED_VALUE"""),"CP")</f>
        <v>CP</v>
      </c>
      <c r="B236" s="195" t="str">
        <f ca="1">IFERROR(__xludf.DUMMYFUNCTION("""COMPUTED_VALUE"""),"Evy Payne")</f>
        <v>Evy Payne</v>
      </c>
      <c r="C236" s="189">
        <f ca="1">IFERROR(__xludf.DUMMYFUNCTION("""COMPUTED_VALUE"""),9)</f>
        <v>9</v>
      </c>
      <c r="D236" s="189" t="str">
        <f ca="1">IFERROR(__xludf.DUMMYFUNCTION("""COMPUTED_VALUE"""),"G")</f>
        <v>G</v>
      </c>
      <c r="E236" s="189" t="str">
        <f ca="1">IFERROR(__xludf.DUMMYFUNCTION("""COMPUTED_VALUE"""),"F")</f>
        <v>F</v>
      </c>
      <c r="F236" s="189" t="str">
        <f ca="1">IFERROR(__xludf.DUMMYFUNCTION("""COMPUTED_VALUE"""),"J")</f>
        <v>J</v>
      </c>
      <c r="G236" s="189">
        <f ca="1">IFERROR(__xludf.DUMMYFUNCTION("""COMPUTED_VALUE"""),5)</f>
        <v>5</v>
      </c>
      <c r="H236" s="196"/>
      <c r="I236" s="196"/>
      <c r="J236" s="196"/>
      <c r="K236" s="196"/>
      <c r="L236" s="196" t="str">
        <v/>
      </c>
      <c r="M236" s="196"/>
    </row>
    <row r="237" spans="1:13" ht="14.4" x14ac:dyDescent="0.3">
      <c r="A237" s="189" t="str">
        <f ca="1">IFERROR(__xludf.DUMMYFUNCTION("""COMPUTED_VALUE"""),"CP")</f>
        <v>CP</v>
      </c>
      <c r="B237" s="195" t="str">
        <f ca="1">IFERROR(__xludf.DUMMYFUNCTION("""COMPUTED_VALUE"""),"Hattie Flores")</f>
        <v>Hattie Flores</v>
      </c>
      <c r="C237" s="189">
        <f ca="1">IFERROR(__xludf.DUMMYFUNCTION("""COMPUTED_VALUE"""),8)</f>
        <v>8</v>
      </c>
      <c r="D237" s="189" t="str">
        <f ca="1">IFERROR(__xludf.DUMMYFUNCTION("""COMPUTED_VALUE"""),"G")</f>
        <v>G</v>
      </c>
      <c r="E237" s="189" t="str">
        <f ca="1">IFERROR(__xludf.DUMMYFUNCTION("""COMPUTED_VALUE"""),"F")</f>
        <v>F</v>
      </c>
      <c r="F237" s="189" t="str">
        <f ca="1">IFERROR(__xludf.DUMMYFUNCTION("""COMPUTED_VALUE"""),"J")</f>
        <v>J</v>
      </c>
      <c r="G237" s="189">
        <f ca="1">IFERROR(__xludf.DUMMYFUNCTION("""COMPUTED_VALUE"""),5)</f>
        <v>5</v>
      </c>
      <c r="H237" s="196"/>
      <c r="I237" s="196"/>
      <c r="J237" s="196"/>
      <c r="K237" s="196"/>
      <c r="L237" s="196" t="str">
        <v/>
      </c>
      <c r="M237" s="196"/>
    </row>
    <row r="238" spans="1:13" ht="14.4" x14ac:dyDescent="0.3">
      <c r="A238" s="189" t="str">
        <f ca="1">IFERROR(__xludf.DUMMYFUNCTION("""COMPUTED_VALUE"""),"CP")</f>
        <v>CP</v>
      </c>
      <c r="B238" s="195" t="str">
        <f ca="1">IFERROR(__xludf.DUMMYFUNCTION("""COMPUTED_VALUE"""),"Jennah Soto")</f>
        <v>Jennah Soto</v>
      </c>
      <c r="C238" s="189">
        <f ca="1">IFERROR(__xludf.DUMMYFUNCTION("""COMPUTED_VALUE"""),8)</f>
        <v>8</v>
      </c>
      <c r="D238" s="189" t="str">
        <f ca="1">IFERROR(__xludf.DUMMYFUNCTION("""COMPUTED_VALUE"""),"G")</f>
        <v>G</v>
      </c>
      <c r="E238" s="189" t="str">
        <f ca="1">IFERROR(__xludf.DUMMYFUNCTION("""COMPUTED_VALUE"""),"F")</f>
        <v>F</v>
      </c>
      <c r="F238" s="189" t="str">
        <f ca="1">IFERROR(__xludf.DUMMYFUNCTION("""COMPUTED_VALUE"""),"J")</f>
        <v>J</v>
      </c>
      <c r="G238" s="189">
        <f ca="1">IFERROR(__xludf.DUMMYFUNCTION("""COMPUTED_VALUE"""),5)</f>
        <v>5</v>
      </c>
      <c r="H238" s="196"/>
      <c r="I238" s="196"/>
      <c r="J238" s="196"/>
      <c r="K238" s="196"/>
      <c r="L238" s="196" t="str">
        <v/>
      </c>
      <c r="M238" s="196"/>
    </row>
    <row r="239" spans="1:13" ht="14.4" x14ac:dyDescent="0.3">
      <c r="A239" s="189" t="str">
        <f ca="1">IFERROR(__xludf.DUMMYFUNCTION("""COMPUTED_VALUE"""),"CP")</f>
        <v>CP</v>
      </c>
      <c r="B239" s="195" t="str">
        <f ca="1">IFERROR(__xludf.DUMMYFUNCTION("""COMPUTED_VALUE"""),"Julia Kosowski")</f>
        <v>Julia Kosowski</v>
      </c>
      <c r="C239" s="189">
        <f ca="1">IFERROR(__xludf.DUMMYFUNCTION("""COMPUTED_VALUE"""),9)</f>
        <v>9</v>
      </c>
      <c r="D239" s="189" t="str">
        <f ca="1">IFERROR(__xludf.DUMMYFUNCTION("""COMPUTED_VALUE"""),"G")</f>
        <v>G</v>
      </c>
      <c r="E239" s="189" t="str">
        <f ca="1">IFERROR(__xludf.DUMMYFUNCTION("""COMPUTED_VALUE"""),"F")</f>
        <v>F</v>
      </c>
      <c r="F239" s="189" t="str">
        <f ca="1">IFERROR(__xludf.DUMMYFUNCTION("""COMPUTED_VALUE"""),"J")</f>
        <v>J</v>
      </c>
      <c r="G239" s="189">
        <f ca="1">IFERROR(__xludf.DUMMYFUNCTION("""COMPUTED_VALUE"""),5)</f>
        <v>5</v>
      </c>
      <c r="H239" s="196"/>
      <c r="I239" s="196"/>
      <c r="J239" s="196"/>
      <c r="K239" s="196"/>
      <c r="L239" s="196" t="str">
        <v/>
      </c>
      <c r="M239" s="196"/>
    </row>
    <row r="240" spans="1:13" ht="14.4" x14ac:dyDescent="0.3">
      <c r="A240" s="189" t="str">
        <f ca="1">IFERROR(__xludf.DUMMYFUNCTION("""COMPUTED_VALUE"""),"CP")</f>
        <v>CP</v>
      </c>
      <c r="B240" s="195" t="str">
        <f ca="1">IFERROR(__xludf.DUMMYFUNCTION("""COMPUTED_VALUE"""),"Lily Sabo")</f>
        <v>Lily Sabo</v>
      </c>
      <c r="C240" s="189">
        <f ca="1">IFERROR(__xludf.DUMMYFUNCTION("""COMPUTED_VALUE"""),9)</f>
        <v>9</v>
      </c>
      <c r="D240" s="189" t="str">
        <f ca="1">IFERROR(__xludf.DUMMYFUNCTION("""COMPUTED_VALUE"""),"G")</f>
        <v>G</v>
      </c>
      <c r="E240" s="189" t="str">
        <f ca="1">IFERROR(__xludf.DUMMYFUNCTION("""COMPUTED_VALUE"""),"F")</f>
        <v>F</v>
      </c>
      <c r="F240" s="189" t="str">
        <f ca="1">IFERROR(__xludf.DUMMYFUNCTION("""COMPUTED_VALUE"""),"J")</f>
        <v>J</v>
      </c>
      <c r="G240" s="189">
        <f ca="1">IFERROR(__xludf.DUMMYFUNCTION("""COMPUTED_VALUE"""),5)</f>
        <v>5</v>
      </c>
      <c r="H240" s="196"/>
      <c r="I240" s="196"/>
      <c r="J240" s="196"/>
      <c r="K240" s="196"/>
      <c r="L240" s="196" t="str">
        <v/>
      </c>
      <c r="M240" s="196"/>
    </row>
    <row r="241" spans="1:13" ht="14.4" x14ac:dyDescent="0.3">
      <c r="A241" s="189" t="str">
        <f ca="1">IFERROR(__xludf.DUMMYFUNCTION("""COMPUTED_VALUE"""),"CP")</f>
        <v>CP</v>
      </c>
      <c r="B241" s="195" t="str">
        <f ca="1">IFERROR(__xludf.DUMMYFUNCTION("""COMPUTED_VALUE"""),"Maya Truitt")</f>
        <v>Maya Truitt</v>
      </c>
      <c r="C241" s="189">
        <f ca="1">IFERROR(__xludf.DUMMYFUNCTION("""COMPUTED_VALUE"""),10)</f>
        <v>10</v>
      </c>
      <c r="D241" s="189" t="str">
        <f ca="1">IFERROR(__xludf.DUMMYFUNCTION("""COMPUTED_VALUE"""),"G")</f>
        <v>G</v>
      </c>
      <c r="E241" s="189" t="str">
        <f ca="1">IFERROR(__xludf.DUMMYFUNCTION("""COMPUTED_VALUE"""),"F")</f>
        <v>F</v>
      </c>
      <c r="F241" s="189" t="str">
        <f ca="1">IFERROR(__xludf.DUMMYFUNCTION("""COMPUTED_VALUE"""),"J")</f>
        <v>J</v>
      </c>
      <c r="G241" s="189">
        <f ca="1">IFERROR(__xludf.DUMMYFUNCTION("""COMPUTED_VALUE"""),5)</f>
        <v>5</v>
      </c>
      <c r="H241" s="196" t="s">
        <v>125</v>
      </c>
      <c r="I241" s="196"/>
      <c r="J241" s="196" t="s">
        <v>29</v>
      </c>
      <c r="K241" s="196"/>
      <c r="L241" s="196" t="str">
        <v xml:space="preserve"> 81.45</v>
      </c>
      <c r="M241" s="196"/>
    </row>
    <row r="242" spans="1:13" ht="14.4" x14ac:dyDescent="0.3">
      <c r="A242" s="189" t="str">
        <f ca="1">IFERROR(__xludf.DUMMYFUNCTION("""COMPUTED_VALUE"""),"CP")</f>
        <v>CP</v>
      </c>
      <c r="B242" s="195" t="str">
        <f ca="1">IFERROR(__xludf.DUMMYFUNCTION("""COMPUTED_VALUE"""),"Nhi Nguyen")</f>
        <v>Nhi Nguyen</v>
      </c>
      <c r="C242" s="189">
        <f ca="1">IFERROR(__xludf.DUMMYFUNCTION("""COMPUTED_VALUE"""),9)</f>
        <v>9</v>
      </c>
      <c r="D242" s="189" t="str">
        <f ca="1">IFERROR(__xludf.DUMMYFUNCTION("""COMPUTED_VALUE"""),"G")</f>
        <v>G</v>
      </c>
      <c r="E242" s="189" t="str">
        <f ca="1">IFERROR(__xludf.DUMMYFUNCTION("""COMPUTED_VALUE"""),"F")</f>
        <v>F</v>
      </c>
      <c r="F242" s="189" t="str">
        <f ca="1">IFERROR(__xludf.DUMMYFUNCTION("""COMPUTED_VALUE"""),"J")</f>
        <v>J</v>
      </c>
      <c r="G242" s="189">
        <f ca="1">IFERROR(__xludf.DUMMYFUNCTION("""COMPUTED_VALUE"""),5)</f>
        <v>5</v>
      </c>
      <c r="H242" s="196" t="s">
        <v>126</v>
      </c>
      <c r="I242" s="196"/>
      <c r="J242" s="196" t="s">
        <v>29</v>
      </c>
      <c r="K242" s="196"/>
      <c r="L242" s="196" t="str">
        <v xml:space="preserve"> 41.45</v>
      </c>
      <c r="M242" s="196"/>
    </row>
    <row r="243" spans="1:13" ht="14.4" x14ac:dyDescent="0.3">
      <c r="A243" s="189" t="str">
        <f ca="1">IFERROR(__xludf.DUMMYFUNCTION("""COMPUTED_VALUE"""),"CP")</f>
        <v>CP</v>
      </c>
      <c r="B243" s="195" t="str">
        <f ca="1">IFERROR(__xludf.DUMMYFUNCTION("""COMPUTED_VALUE"""),"Tessa Iaci")</f>
        <v>Tessa Iaci</v>
      </c>
      <c r="C243" s="189">
        <f ca="1">IFERROR(__xludf.DUMMYFUNCTION("""COMPUTED_VALUE"""),8)</f>
        <v>8</v>
      </c>
      <c r="D243" s="189" t="str">
        <f ca="1">IFERROR(__xludf.DUMMYFUNCTION("""COMPUTED_VALUE"""),"G")</f>
        <v>G</v>
      </c>
      <c r="E243" s="189" t="str">
        <f ca="1">IFERROR(__xludf.DUMMYFUNCTION("""COMPUTED_VALUE"""),"F")</f>
        <v>F</v>
      </c>
      <c r="F243" s="189" t="str">
        <f ca="1">IFERROR(__xludf.DUMMYFUNCTION("""COMPUTED_VALUE"""),"J")</f>
        <v>J</v>
      </c>
      <c r="G243" s="189">
        <f ca="1">IFERROR(__xludf.DUMMYFUNCTION("""COMPUTED_VALUE"""),5)</f>
        <v>5</v>
      </c>
      <c r="H243" s="196"/>
      <c r="I243" s="196"/>
      <c r="J243" s="196"/>
      <c r="K243" s="196"/>
      <c r="L243" s="196" t="str">
        <v/>
      </c>
      <c r="M243" s="196"/>
    </row>
    <row r="244" spans="1:13" ht="14.4" x14ac:dyDescent="0.3">
      <c r="A244" s="189" t="str">
        <f ca="1">IFERROR(__xludf.DUMMYFUNCTION("""COMPUTED_VALUE"""),"CP")</f>
        <v>CP</v>
      </c>
      <c r="B244" s="195" t="str">
        <f ca="1">IFERROR(__xludf.DUMMYFUNCTION("""COMPUTED_VALUE"""),"Brooks Roehrig")</f>
        <v>Brooks Roehrig</v>
      </c>
      <c r="C244" s="189">
        <f ca="1">IFERROR(__xludf.DUMMYFUNCTION("""COMPUTED_VALUE"""),8)</f>
        <v>8</v>
      </c>
      <c r="D244" s="189" t="str">
        <f ca="1">IFERROR(__xludf.DUMMYFUNCTION("""COMPUTED_VALUE"""),"B")</f>
        <v>B</v>
      </c>
      <c r="E244" s="189" t="str">
        <f ca="1">IFERROR(__xludf.DUMMYFUNCTION("""COMPUTED_VALUE"""),"F")</f>
        <v>F</v>
      </c>
      <c r="F244" s="189" t="str">
        <f ca="1">IFERROR(__xludf.DUMMYFUNCTION("""COMPUTED_VALUE"""),"J")</f>
        <v>J</v>
      </c>
      <c r="G244" s="189">
        <f ca="1">IFERROR(__xludf.DUMMYFUNCTION("""COMPUTED_VALUE"""),5)</f>
        <v>5</v>
      </c>
      <c r="H244" s="196"/>
      <c r="I244" s="196"/>
      <c r="J244" s="196"/>
      <c r="K244" s="196"/>
      <c r="L244" s="196" t="str">
        <v/>
      </c>
      <c r="M244" s="196"/>
    </row>
    <row r="245" spans="1:13" ht="14.4" x14ac:dyDescent="0.3">
      <c r="A245" s="189" t="str">
        <f ca="1">IFERROR(__xludf.DUMMYFUNCTION("""COMPUTED_VALUE"""),"CP")</f>
        <v>CP</v>
      </c>
      <c r="B245" s="195" t="str">
        <f ca="1">IFERROR(__xludf.DUMMYFUNCTION("""COMPUTED_VALUE"""),"Donovan Dempsey")</f>
        <v>Donovan Dempsey</v>
      </c>
      <c r="C245" s="189">
        <f ca="1">IFERROR(__xludf.DUMMYFUNCTION("""COMPUTED_VALUE"""),10)</f>
        <v>10</v>
      </c>
      <c r="D245" s="189" t="str">
        <f ca="1">IFERROR(__xludf.DUMMYFUNCTION("""COMPUTED_VALUE"""),"B")</f>
        <v>B</v>
      </c>
      <c r="E245" s="189" t="str">
        <f ca="1">IFERROR(__xludf.DUMMYFUNCTION("""COMPUTED_VALUE"""),"F")</f>
        <v>F</v>
      </c>
      <c r="F245" s="189" t="str">
        <f ca="1">IFERROR(__xludf.DUMMYFUNCTION("""COMPUTED_VALUE"""),"J")</f>
        <v>J</v>
      </c>
      <c r="G245" s="189">
        <f ca="1">IFERROR(__xludf.DUMMYFUNCTION("""COMPUTED_VALUE"""),5)</f>
        <v>5</v>
      </c>
      <c r="H245" s="196"/>
      <c r="I245" s="196"/>
      <c r="J245" s="196"/>
      <c r="K245" s="196"/>
      <c r="L245" s="196" t="str">
        <v/>
      </c>
      <c r="M245" s="196"/>
    </row>
    <row r="246" spans="1:13" ht="14.4" x14ac:dyDescent="0.3">
      <c r="A246" s="189" t="str">
        <f ca="1">IFERROR(__xludf.DUMMYFUNCTION("""COMPUTED_VALUE"""),"CP")</f>
        <v>CP</v>
      </c>
      <c r="B246" s="195" t="str">
        <f ca="1">IFERROR(__xludf.DUMMYFUNCTION("""COMPUTED_VALUE"""),"Eli Anwar")</f>
        <v>Eli Anwar</v>
      </c>
      <c r="C246" s="189">
        <f ca="1">IFERROR(__xludf.DUMMYFUNCTION("""COMPUTED_VALUE"""),9)</f>
        <v>9</v>
      </c>
      <c r="D246" s="189" t="str">
        <f ca="1">IFERROR(__xludf.DUMMYFUNCTION("""COMPUTED_VALUE"""),"B")</f>
        <v>B</v>
      </c>
      <c r="E246" s="189" t="str">
        <f ca="1">IFERROR(__xludf.DUMMYFUNCTION("""COMPUTED_VALUE"""),"F")</f>
        <v>F</v>
      </c>
      <c r="F246" s="189" t="str">
        <f ca="1">IFERROR(__xludf.DUMMYFUNCTION("""COMPUTED_VALUE"""),"J")</f>
        <v>J</v>
      </c>
      <c r="G246" s="189">
        <f ca="1">IFERROR(__xludf.DUMMYFUNCTION("""COMPUTED_VALUE"""),5)</f>
        <v>5</v>
      </c>
      <c r="H246" s="196"/>
      <c r="I246" s="196"/>
      <c r="J246" s="196"/>
      <c r="K246" s="196"/>
      <c r="L246" s="196" t="str">
        <v/>
      </c>
      <c r="M246" s="196"/>
    </row>
    <row r="247" spans="1:13" ht="14.4" x14ac:dyDescent="0.3">
      <c r="A247" s="189" t="str">
        <f ca="1">IFERROR(__xludf.DUMMYFUNCTION("""COMPUTED_VALUE"""),"CP")</f>
        <v>CP</v>
      </c>
      <c r="B247" s="195" t="str">
        <f ca="1">IFERROR(__xludf.DUMMYFUNCTION("""COMPUTED_VALUE"""),"Nolan Cherryholmes-Wesley")</f>
        <v>Nolan Cherryholmes-Wesley</v>
      </c>
      <c r="C247" s="189">
        <f ca="1">IFERROR(__xludf.DUMMYFUNCTION("""COMPUTED_VALUE"""),9)</f>
        <v>9</v>
      </c>
      <c r="D247" s="189" t="str">
        <f ca="1">IFERROR(__xludf.DUMMYFUNCTION("""COMPUTED_VALUE"""),"B")</f>
        <v>B</v>
      </c>
      <c r="E247" s="189" t="str">
        <f ca="1">IFERROR(__xludf.DUMMYFUNCTION("""COMPUTED_VALUE"""),"F")</f>
        <v>F</v>
      </c>
      <c r="F247" s="189" t="str">
        <f ca="1">IFERROR(__xludf.DUMMYFUNCTION("""COMPUTED_VALUE"""),"J")</f>
        <v>J</v>
      </c>
      <c r="G247" s="189">
        <f ca="1">IFERROR(__xludf.DUMMYFUNCTION("""COMPUTED_VALUE"""),5)</f>
        <v>5</v>
      </c>
      <c r="H247" s="196" t="s">
        <v>127</v>
      </c>
      <c r="I247" s="196"/>
      <c r="J247" s="196" t="s">
        <v>29</v>
      </c>
      <c r="K247" s="196"/>
      <c r="L247" s="196" t="str">
        <v xml:space="preserve"> 51.70</v>
      </c>
      <c r="M247" s="196"/>
    </row>
    <row r="248" spans="1:13" ht="14.4" x14ac:dyDescent="0.3">
      <c r="A248" s="189" t="str">
        <f ca="1">IFERROR(__xludf.DUMMYFUNCTION("""COMPUTED_VALUE"""),"CP")</f>
        <v>CP</v>
      </c>
      <c r="B248" s="195" t="str">
        <f ca="1">IFERROR(__xludf.DUMMYFUNCTION("""COMPUTED_VALUE"""),"Ray Roswell")</f>
        <v>Ray Roswell</v>
      </c>
      <c r="C248" s="189">
        <f ca="1">IFERROR(__xludf.DUMMYFUNCTION("""COMPUTED_VALUE"""),10)</f>
        <v>10</v>
      </c>
      <c r="D248" s="189" t="str">
        <f ca="1">IFERROR(__xludf.DUMMYFUNCTION("""COMPUTED_VALUE"""),"B")</f>
        <v>B</v>
      </c>
      <c r="E248" s="189" t="str">
        <f ca="1">IFERROR(__xludf.DUMMYFUNCTION("""COMPUTED_VALUE"""),"F")</f>
        <v>F</v>
      </c>
      <c r="F248" s="189" t="str">
        <f ca="1">IFERROR(__xludf.DUMMYFUNCTION("""COMPUTED_VALUE"""),"J")</f>
        <v>J</v>
      </c>
      <c r="G248" s="189">
        <f ca="1">IFERROR(__xludf.DUMMYFUNCTION("""COMPUTED_VALUE"""),5)</f>
        <v>5</v>
      </c>
      <c r="H248" s="196" t="s">
        <v>128</v>
      </c>
      <c r="I248" s="196"/>
      <c r="J248" s="196" t="s">
        <v>29</v>
      </c>
      <c r="K248" s="196"/>
      <c r="L248" s="196" t="str">
        <v xml:space="preserve"> 59.95</v>
      </c>
      <c r="M248" s="196"/>
    </row>
    <row r="249" spans="1:13" ht="14.4" x14ac:dyDescent="0.3">
      <c r="A249" s="189" t="str">
        <f ca="1">IFERROR(__xludf.DUMMYFUNCTION("""COMPUTED_VALUE"""),"CP")</f>
        <v>CP</v>
      </c>
      <c r="B249" s="195" t="str">
        <f ca="1">IFERROR(__xludf.DUMMYFUNCTION("""COMPUTED_VALUE"""),"Bianca Soto")</f>
        <v>Bianca Soto</v>
      </c>
      <c r="C249" s="189">
        <f ca="1">IFERROR(__xludf.DUMMYFUNCTION("""COMPUTED_VALUE"""),14)</f>
        <v>14</v>
      </c>
      <c r="D249" s="189" t="str">
        <f ca="1">IFERROR(__xludf.DUMMYFUNCTION("""COMPUTED_VALUE"""),"G")</f>
        <v>G</v>
      </c>
      <c r="E249" s="189" t="str">
        <f ca="1">IFERROR(__xludf.DUMMYFUNCTION("""COMPUTED_VALUE"""),"I")</f>
        <v>I</v>
      </c>
      <c r="F249" s="189" t="str">
        <f ca="1">IFERROR(__xludf.DUMMYFUNCTION("""COMPUTED_VALUE"""),"S")</f>
        <v>S</v>
      </c>
      <c r="G249" s="189">
        <f ca="1">IFERROR(__xludf.DUMMYFUNCTION("""COMPUTED_VALUE"""),5)</f>
        <v>5</v>
      </c>
      <c r="H249" s="196"/>
      <c r="I249" s="196"/>
      <c r="J249" s="196"/>
      <c r="K249" s="196"/>
      <c r="L249" s="196" t="str">
        <v/>
      </c>
      <c r="M249" s="196"/>
    </row>
    <row r="250" spans="1:13" ht="14.4" x14ac:dyDescent="0.3">
      <c r="A250" s="189" t="str">
        <f ca="1">IFERROR(__xludf.DUMMYFUNCTION("""COMPUTED_VALUE"""),"CP")</f>
        <v>CP</v>
      </c>
      <c r="B250" s="195" t="str">
        <f ca="1">IFERROR(__xludf.DUMMYFUNCTION("""COMPUTED_VALUE"""),"Carolina Hall")</f>
        <v>Carolina Hall</v>
      </c>
      <c r="C250" s="189">
        <f ca="1">IFERROR(__xludf.DUMMYFUNCTION("""COMPUTED_VALUE"""),13)</f>
        <v>13</v>
      </c>
      <c r="D250" s="189" t="str">
        <f ca="1">IFERROR(__xludf.DUMMYFUNCTION("""COMPUTED_VALUE"""),"G")</f>
        <v>G</v>
      </c>
      <c r="E250" s="189" t="str">
        <f ca="1">IFERROR(__xludf.DUMMYFUNCTION("""COMPUTED_VALUE"""),"I")</f>
        <v>I</v>
      </c>
      <c r="F250" s="189" t="str">
        <f ca="1">IFERROR(__xludf.DUMMYFUNCTION("""COMPUTED_VALUE"""),"S")</f>
        <v>S</v>
      </c>
      <c r="G250" s="189">
        <f ca="1">IFERROR(__xludf.DUMMYFUNCTION("""COMPUTED_VALUE"""),5)</f>
        <v>5</v>
      </c>
      <c r="H250" s="196"/>
      <c r="I250" s="196"/>
      <c r="J250" s="196"/>
      <c r="K250" s="196"/>
      <c r="L250" s="196" t="str">
        <v/>
      </c>
      <c r="M250" s="196"/>
    </row>
    <row r="251" spans="1:13" ht="14.4" x14ac:dyDescent="0.3">
      <c r="A251" s="189" t="str">
        <f ca="1">IFERROR(__xludf.DUMMYFUNCTION("""COMPUTED_VALUE"""),"CP")</f>
        <v>CP</v>
      </c>
      <c r="B251" s="195" t="str">
        <f ca="1">IFERROR(__xludf.DUMMYFUNCTION("""COMPUTED_VALUE"""),"Quinn Harris")</f>
        <v>Quinn Harris</v>
      </c>
      <c r="C251" s="189">
        <f ca="1">IFERROR(__xludf.DUMMYFUNCTION("""COMPUTED_VALUE"""),14)</f>
        <v>14</v>
      </c>
      <c r="D251" s="189" t="str">
        <f ca="1">IFERROR(__xludf.DUMMYFUNCTION("""COMPUTED_VALUE"""),"G")</f>
        <v>G</v>
      </c>
      <c r="E251" s="189" t="str">
        <f ca="1">IFERROR(__xludf.DUMMYFUNCTION("""COMPUTED_VALUE"""),"I")</f>
        <v>I</v>
      </c>
      <c r="F251" s="189" t="str">
        <f ca="1">IFERROR(__xludf.DUMMYFUNCTION("""COMPUTED_VALUE"""),"S")</f>
        <v>S</v>
      </c>
      <c r="G251" s="189">
        <f ca="1">IFERROR(__xludf.DUMMYFUNCTION("""COMPUTED_VALUE"""),5)</f>
        <v>5</v>
      </c>
      <c r="H251" s="196" t="s">
        <v>129</v>
      </c>
      <c r="I251" s="196"/>
      <c r="J251" s="196" t="s">
        <v>64</v>
      </c>
      <c r="K251" s="196"/>
      <c r="L251" s="196" t="str">
        <v xml:space="preserve"> -149.45</v>
      </c>
      <c r="M251" s="196"/>
    </row>
    <row r="252" spans="1:13" ht="14.4" x14ac:dyDescent="0.3">
      <c r="A252" s="189" t="str">
        <f ca="1">IFERROR(__xludf.DUMMYFUNCTION("""COMPUTED_VALUE"""),"CP")</f>
        <v>CP</v>
      </c>
      <c r="B252" s="195" t="str">
        <f ca="1">IFERROR(__xludf.DUMMYFUNCTION("""COMPUTED_VALUE"""),"Sloan Tann")</f>
        <v>Sloan Tann</v>
      </c>
      <c r="C252" s="189">
        <f ca="1">IFERROR(__xludf.DUMMYFUNCTION("""COMPUTED_VALUE"""),13)</f>
        <v>13</v>
      </c>
      <c r="D252" s="189" t="str">
        <f ca="1">IFERROR(__xludf.DUMMYFUNCTION("""COMPUTED_VALUE"""),"G")</f>
        <v>G</v>
      </c>
      <c r="E252" s="189" t="str">
        <f ca="1">IFERROR(__xludf.DUMMYFUNCTION("""COMPUTED_VALUE"""),"I")</f>
        <v>I</v>
      </c>
      <c r="F252" s="189" t="str">
        <f ca="1">IFERROR(__xludf.DUMMYFUNCTION("""COMPUTED_VALUE"""),"S")</f>
        <v>S</v>
      </c>
      <c r="G252" s="189">
        <f ca="1">IFERROR(__xludf.DUMMYFUNCTION("""COMPUTED_VALUE"""),5)</f>
        <v>5</v>
      </c>
      <c r="H252" s="196" t="s">
        <v>130</v>
      </c>
      <c r="I252" s="196"/>
      <c r="J252" s="196" t="s">
        <v>29</v>
      </c>
      <c r="K252" s="196"/>
      <c r="L252" s="196" t="str">
        <v xml:space="preserve"> 191.70</v>
      </c>
      <c r="M252" s="196"/>
    </row>
    <row r="253" spans="1:13" ht="14.4" x14ac:dyDescent="0.3">
      <c r="A253" s="189" t="str">
        <f ca="1">IFERROR(__xludf.DUMMYFUNCTION("""COMPUTED_VALUE"""),"CP")</f>
        <v>CP</v>
      </c>
      <c r="B253" s="195" t="str">
        <f ca="1">IFERROR(__xludf.DUMMYFUNCTION("""COMPUTED_VALUE"""),"Teagan Johns")</f>
        <v>Teagan Johns</v>
      </c>
      <c r="C253" s="189">
        <f ca="1">IFERROR(__xludf.DUMMYFUNCTION("""COMPUTED_VALUE"""),13)</f>
        <v>13</v>
      </c>
      <c r="D253" s="189" t="str">
        <f ca="1">IFERROR(__xludf.DUMMYFUNCTION("""COMPUTED_VALUE"""),"G")</f>
        <v>G</v>
      </c>
      <c r="E253" s="189" t="str">
        <f ca="1">IFERROR(__xludf.DUMMYFUNCTION("""COMPUTED_VALUE"""),"I")</f>
        <v>I</v>
      </c>
      <c r="F253" s="189" t="str">
        <f ca="1">IFERROR(__xludf.DUMMYFUNCTION("""COMPUTED_VALUE"""),"S")</f>
        <v>S</v>
      </c>
      <c r="G253" s="189">
        <f ca="1">IFERROR(__xludf.DUMMYFUNCTION("""COMPUTED_VALUE"""),5)</f>
        <v>5</v>
      </c>
      <c r="H253" s="196"/>
      <c r="I253" s="196"/>
      <c r="J253" s="196"/>
      <c r="K253" s="196"/>
      <c r="L253" s="196" t="str">
        <v/>
      </c>
      <c r="M253" s="196"/>
    </row>
    <row r="254" spans="1:13" ht="14.4" x14ac:dyDescent="0.3">
      <c r="A254" s="189" t="str">
        <f ca="1">IFERROR(__xludf.DUMMYFUNCTION("""COMPUTED_VALUE"""),"CP")</f>
        <v>CP</v>
      </c>
      <c r="B254" s="195" t="str">
        <f ca="1">IFERROR(__xludf.DUMMYFUNCTION("""COMPUTED_VALUE"""),"Ethan Johns")</f>
        <v>Ethan Johns</v>
      </c>
      <c r="C254" s="189">
        <f ca="1">IFERROR(__xludf.DUMMYFUNCTION("""COMPUTED_VALUE"""),13)</f>
        <v>13</v>
      </c>
      <c r="D254" s="189" t="str">
        <f ca="1">IFERROR(__xludf.DUMMYFUNCTION("""COMPUTED_VALUE"""),"B")</f>
        <v>B</v>
      </c>
      <c r="E254" s="189" t="str">
        <f ca="1">IFERROR(__xludf.DUMMYFUNCTION("""COMPUTED_VALUE"""),"I")</f>
        <v>I</v>
      </c>
      <c r="F254" s="189" t="str">
        <f ca="1">IFERROR(__xludf.DUMMYFUNCTION("""COMPUTED_VALUE"""),"S")</f>
        <v>S</v>
      </c>
      <c r="G254" s="189">
        <f ca="1">IFERROR(__xludf.DUMMYFUNCTION("""COMPUTED_VALUE"""),5)</f>
        <v>5</v>
      </c>
      <c r="H254" s="196"/>
      <c r="I254" s="196"/>
      <c r="J254" s="196"/>
      <c r="K254" s="196"/>
      <c r="L254" s="196" t="str">
        <v/>
      </c>
      <c r="M254" s="196"/>
    </row>
    <row r="255" spans="1:13" ht="14.4" x14ac:dyDescent="0.3">
      <c r="A255" s="189" t="str">
        <f ca="1">IFERROR(__xludf.DUMMYFUNCTION("""COMPUTED_VALUE"""),"CP")</f>
        <v>CP</v>
      </c>
      <c r="B255" s="195" t="str">
        <f ca="1">IFERROR(__xludf.DUMMYFUNCTION("""COMPUTED_VALUE"""),"Luke Sabo")</f>
        <v>Luke Sabo</v>
      </c>
      <c r="C255" s="189">
        <f ca="1">IFERROR(__xludf.DUMMYFUNCTION("""COMPUTED_VALUE"""),13)</f>
        <v>13</v>
      </c>
      <c r="D255" s="189" t="str">
        <f ca="1">IFERROR(__xludf.DUMMYFUNCTION("""COMPUTED_VALUE"""),"B")</f>
        <v>B</v>
      </c>
      <c r="E255" s="189" t="str">
        <f ca="1">IFERROR(__xludf.DUMMYFUNCTION("""COMPUTED_VALUE"""),"I")</f>
        <v>I</v>
      </c>
      <c r="F255" s="189" t="str">
        <f ca="1">IFERROR(__xludf.DUMMYFUNCTION("""COMPUTED_VALUE"""),"S")</f>
        <v>S</v>
      </c>
      <c r="G255" s="189">
        <f ca="1">IFERROR(__xludf.DUMMYFUNCTION("""COMPUTED_VALUE"""),5)</f>
        <v>5</v>
      </c>
      <c r="H255" s="196"/>
      <c r="I255" s="196"/>
      <c r="J255" s="196"/>
      <c r="K255" s="196"/>
      <c r="L255" s="196" t="str">
        <v/>
      </c>
      <c r="M255" s="196"/>
    </row>
    <row r="256" spans="1:13" ht="14.4" x14ac:dyDescent="0.3">
      <c r="A256" s="189" t="str">
        <f ca="1">IFERROR(__xludf.DUMMYFUNCTION("""COMPUTED_VALUE"""),"CP")</f>
        <v>CP</v>
      </c>
      <c r="B256" s="195" t="str">
        <f ca="1">IFERROR(__xludf.DUMMYFUNCTION("""COMPUTED_VALUE"""),"Anna Kosowski")</f>
        <v>Anna Kosowski</v>
      </c>
      <c r="C256" s="189">
        <f ca="1">IFERROR(__xludf.DUMMYFUNCTION("""COMPUTED_VALUE"""),12)</f>
        <v>12</v>
      </c>
      <c r="D256" s="189" t="str">
        <f ca="1">IFERROR(__xludf.DUMMYFUNCTION("""COMPUTED_VALUE"""),"G")</f>
        <v>G</v>
      </c>
      <c r="E256" s="189" t="str">
        <f ca="1">IFERROR(__xludf.DUMMYFUNCTION("""COMPUTED_VALUE"""),"J")</f>
        <v>J</v>
      </c>
      <c r="F256" s="189" t="str">
        <f ca="1">IFERROR(__xludf.DUMMYFUNCTION("""COMPUTED_VALUE"""),"I")</f>
        <v>I</v>
      </c>
      <c r="G256" s="189">
        <f ca="1">IFERROR(__xludf.DUMMYFUNCTION("""COMPUTED_VALUE"""),5)</f>
        <v>5</v>
      </c>
      <c r="H256" s="196"/>
      <c r="I256" s="196"/>
      <c r="J256" s="196"/>
      <c r="K256" s="196"/>
      <c r="L256" s="196" t="str">
        <v/>
      </c>
      <c r="M256" s="196"/>
    </row>
    <row r="257" spans="1:13" ht="14.4" x14ac:dyDescent="0.3">
      <c r="A257" s="189" t="str">
        <f ca="1">IFERROR(__xludf.DUMMYFUNCTION("""COMPUTED_VALUE"""),"CP")</f>
        <v>CP</v>
      </c>
      <c r="B257" s="195" t="str">
        <f ca="1">IFERROR(__xludf.DUMMYFUNCTION("""COMPUTED_VALUE"""),"Briana Birchfield")</f>
        <v>Briana Birchfield</v>
      </c>
      <c r="C257" s="189">
        <f ca="1">IFERROR(__xludf.DUMMYFUNCTION("""COMPUTED_VALUE"""),11)</f>
        <v>11</v>
      </c>
      <c r="D257" s="189" t="str">
        <f ca="1">IFERROR(__xludf.DUMMYFUNCTION("""COMPUTED_VALUE"""),"G")</f>
        <v>G</v>
      </c>
      <c r="E257" s="189" t="str">
        <f ca="1">IFERROR(__xludf.DUMMYFUNCTION("""COMPUTED_VALUE"""),"J")</f>
        <v>J</v>
      </c>
      <c r="F257" s="189" t="str">
        <f ca="1">IFERROR(__xludf.DUMMYFUNCTION("""COMPUTED_VALUE"""),"I")</f>
        <v>I</v>
      </c>
      <c r="G257" s="189">
        <f ca="1">IFERROR(__xludf.DUMMYFUNCTION("""COMPUTED_VALUE"""),5)</f>
        <v>5</v>
      </c>
      <c r="H257" s="196"/>
      <c r="I257" s="196"/>
      <c r="J257" s="196"/>
      <c r="K257" s="196"/>
      <c r="L257" s="196" t="str">
        <v/>
      </c>
      <c r="M257" s="196"/>
    </row>
    <row r="258" spans="1:13" ht="14.4" x14ac:dyDescent="0.3">
      <c r="A258" s="189" t="str">
        <f ca="1">IFERROR(__xludf.DUMMYFUNCTION("""COMPUTED_VALUE"""),"CP")</f>
        <v>CP</v>
      </c>
      <c r="B258" s="195" t="str">
        <f ca="1">IFERROR(__xludf.DUMMYFUNCTION("""COMPUTED_VALUE"""),"Cameron Roehrig")</f>
        <v>Cameron Roehrig</v>
      </c>
      <c r="C258" s="189">
        <f ca="1">IFERROR(__xludf.DUMMYFUNCTION("""COMPUTED_VALUE"""),11)</f>
        <v>11</v>
      </c>
      <c r="D258" s="189" t="str">
        <f ca="1">IFERROR(__xludf.DUMMYFUNCTION("""COMPUTED_VALUE"""),"G")</f>
        <v>G</v>
      </c>
      <c r="E258" s="189" t="str">
        <f ca="1">IFERROR(__xludf.DUMMYFUNCTION("""COMPUTED_VALUE"""),"J")</f>
        <v>J</v>
      </c>
      <c r="F258" s="189" t="str">
        <f ca="1">IFERROR(__xludf.DUMMYFUNCTION("""COMPUTED_VALUE"""),"I")</f>
        <v>I</v>
      </c>
      <c r="G258" s="189">
        <f ca="1">IFERROR(__xludf.DUMMYFUNCTION("""COMPUTED_VALUE"""),5)</f>
        <v>5</v>
      </c>
      <c r="H258" s="196"/>
      <c r="I258" s="196"/>
      <c r="J258" s="196"/>
      <c r="K258" s="196"/>
      <c r="L258" s="196" t="str">
        <v/>
      </c>
      <c r="M258" s="196"/>
    </row>
    <row r="259" spans="1:13" ht="14.4" x14ac:dyDescent="0.3">
      <c r="A259" s="189" t="str">
        <f ca="1">IFERROR(__xludf.DUMMYFUNCTION("""COMPUTED_VALUE"""),"CP")</f>
        <v>CP</v>
      </c>
      <c r="B259" s="195" t="str">
        <f ca="1">IFERROR(__xludf.DUMMYFUNCTION("""COMPUTED_VALUE"""),"Emma Whaley")</f>
        <v>Emma Whaley</v>
      </c>
      <c r="C259" s="189">
        <f ca="1">IFERROR(__xludf.DUMMYFUNCTION("""COMPUTED_VALUE"""),12)</f>
        <v>12</v>
      </c>
      <c r="D259" s="189" t="str">
        <f ca="1">IFERROR(__xludf.DUMMYFUNCTION("""COMPUTED_VALUE"""),"G")</f>
        <v>G</v>
      </c>
      <c r="E259" s="189" t="str">
        <f ca="1">IFERROR(__xludf.DUMMYFUNCTION("""COMPUTED_VALUE"""),"J")</f>
        <v>J</v>
      </c>
      <c r="F259" s="189" t="str">
        <f ca="1">IFERROR(__xludf.DUMMYFUNCTION("""COMPUTED_VALUE"""),"I")</f>
        <v>I</v>
      </c>
      <c r="G259" s="189">
        <f ca="1">IFERROR(__xludf.DUMMYFUNCTION("""COMPUTED_VALUE"""),5)</f>
        <v>5</v>
      </c>
      <c r="H259" s="196" t="s">
        <v>131</v>
      </c>
      <c r="I259" s="196"/>
      <c r="J259" s="196" t="s">
        <v>29</v>
      </c>
      <c r="K259" s="196"/>
      <c r="L259" s="196" t="str">
        <v xml:space="preserve"> 80.90</v>
      </c>
      <c r="M259" s="196"/>
    </row>
    <row r="260" spans="1:13" ht="14.4" x14ac:dyDescent="0.3">
      <c r="A260" s="189" t="str">
        <f ca="1">IFERROR(__xludf.DUMMYFUNCTION("""COMPUTED_VALUE"""),"CP")</f>
        <v>CP</v>
      </c>
      <c r="B260" s="195" t="str">
        <f ca="1">IFERROR(__xludf.DUMMYFUNCTION("""COMPUTED_VALUE"""),"Hannah Barry")</f>
        <v>Hannah Barry</v>
      </c>
      <c r="C260" s="189">
        <f ca="1">IFERROR(__xludf.DUMMYFUNCTION("""COMPUTED_VALUE"""),11)</f>
        <v>11</v>
      </c>
      <c r="D260" s="189" t="str">
        <f ca="1">IFERROR(__xludf.DUMMYFUNCTION("""COMPUTED_VALUE"""),"G")</f>
        <v>G</v>
      </c>
      <c r="E260" s="189" t="str">
        <f ca="1">IFERROR(__xludf.DUMMYFUNCTION("""COMPUTED_VALUE"""),"J")</f>
        <v>J</v>
      </c>
      <c r="F260" s="189" t="str">
        <f ca="1">IFERROR(__xludf.DUMMYFUNCTION("""COMPUTED_VALUE"""),"I")</f>
        <v>I</v>
      </c>
      <c r="G260" s="189">
        <f ca="1">IFERROR(__xludf.DUMMYFUNCTION("""COMPUTED_VALUE"""),5)</f>
        <v>5</v>
      </c>
      <c r="H260" s="196"/>
      <c r="I260" s="196"/>
      <c r="J260" s="196"/>
      <c r="K260" s="196"/>
      <c r="L260" s="196" t="str">
        <v/>
      </c>
      <c r="M260" s="196"/>
    </row>
    <row r="261" spans="1:13" ht="14.4" x14ac:dyDescent="0.3">
      <c r="A261" s="189" t="str">
        <f ca="1">IFERROR(__xludf.DUMMYFUNCTION("""COMPUTED_VALUE"""),"CP")</f>
        <v>CP</v>
      </c>
      <c r="B261" s="195" t="str">
        <f ca="1">IFERROR(__xludf.DUMMYFUNCTION("""COMPUTED_VALUE"""),"Jackie Hull")</f>
        <v>Jackie Hull</v>
      </c>
      <c r="C261" s="189">
        <f ca="1">IFERROR(__xludf.DUMMYFUNCTION("""COMPUTED_VALUE"""),12)</f>
        <v>12</v>
      </c>
      <c r="D261" s="189" t="str">
        <f ca="1">IFERROR(__xludf.DUMMYFUNCTION("""COMPUTED_VALUE"""),"G")</f>
        <v>G</v>
      </c>
      <c r="E261" s="189" t="str">
        <f ca="1">IFERROR(__xludf.DUMMYFUNCTION("""COMPUTED_VALUE"""),"J")</f>
        <v>J</v>
      </c>
      <c r="F261" s="189" t="str">
        <f ca="1">IFERROR(__xludf.DUMMYFUNCTION("""COMPUTED_VALUE"""),"I")</f>
        <v>I</v>
      </c>
      <c r="G261" s="189">
        <f ca="1">IFERROR(__xludf.DUMMYFUNCTION("""COMPUTED_VALUE"""),5)</f>
        <v>5</v>
      </c>
      <c r="H261" s="196"/>
      <c r="I261" s="196"/>
      <c r="J261" s="196"/>
      <c r="K261" s="196"/>
      <c r="L261" s="196" t="str">
        <v/>
      </c>
      <c r="M261" s="196"/>
    </row>
    <row r="262" spans="1:13" ht="14.4" x14ac:dyDescent="0.3">
      <c r="A262" s="189" t="str">
        <f ca="1">IFERROR(__xludf.DUMMYFUNCTION("""COMPUTED_VALUE"""),"CP")</f>
        <v>CP</v>
      </c>
      <c r="B262" s="195" t="str">
        <f ca="1">IFERROR(__xludf.DUMMYFUNCTION("""COMPUTED_VALUE"""),"Natalia Patrick")</f>
        <v>Natalia Patrick</v>
      </c>
      <c r="C262" s="189">
        <f ca="1">IFERROR(__xludf.DUMMYFUNCTION("""COMPUTED_VALUE"""),11)</f>
        <v>11</v>
      </c>
      <c r="D262" s="189" t="str">
        <f ca="1">IFERROR(__xludf.DUMMYFUNCTION("""COMPUTED_VALUE"""),"G")</f>
        <v>G</v>
      </c>
      <c r="E262" s="189" t="str">
        <f ca="1">IFERROR(__xludf.DUMMYFUNCTION("""COMPUTED_VALUE"""),"J")</f>
        <v>J</v>
      </c>
      <c r="F262" s="189" t="str">
        <f ca="1">IFERROR(__xludf.DUMMYFUNCTION("""COMPUTED_VALUE"""),"I")</f>
        <v>I</v>
      </c>
      <c r="G262" s="189">
        <f ca="1">IFERROR(__xludf.DUMMYFUNCTION("""COMPUTED_VALUE"""),5)</f>
        <v>5</v>
      </c>
      <c r="H262" s="196"/>
      <c r="I262" s="196"/>
      <c r="J262" s="196"/>
      <c r="K262" s="196"/>
      <c r="L262" s="196" t="str">
        <v/>
      </c>
      <c r="M262" s="196"/>
    </row>
    <row r="263" spans="1:13" ht="14.4" x14ac:dyDescent="0.3">
      <c r="A263" s="189" t="str">
        <f ca="1">IFERROR(__xludf.DUMMYFUNCTION("""COMPUTED_VALUE"""),"CP")</f>
        <v>CP</v>
      </c>
      <c r="B263" s="195" t="str">
        <f ca="1">IFERROR(__xludf.DUMMYFUNCTION("""COMPUTED_VALUE"""),"Sophie Ryan")</f>
        <v>Sophie Ryan</v>
      </c>
      <c r="C263" s="189">
        <f ca="1">IFERROR(__xludf.DUMMYFUNCTION("""COMPUTED_VALUE"""),12)</f>
        <v>12</v>
      </c>
      <c r="D263" s="189" t="str">
        <f ca="1">IFERROR(__xludf.DUMMYFUNCTION("""COMPUTED_VALUE"""),"G")</f>
        <v>G</v>
      </c>
      <c r="E263" s="189" t="str">
        <f ca="1">IFERROR(__xludf.DUMMYFUNCTION("""COMPUTED_VALUE"""),"J")</f>
        <v>J</v>
      </c>
      <c r="F263" s="189" t="str">
        <f ca="1">IFERROR(__xludf.DUMMYFUNCTION("""COMPUTED_VALUE"""),"I")</f>
        <v>I</v>
      </c>
      <c r="G263" s="189">
        <f ca="1">IFERROR(__xludf.DUMMYFUNCTION("""COMPUTED_VALUE"""),5)</f>
        <v>5</v>
      </c>
      <c r="H263" s="196" t="s">
        <v>132</v>
      </c>
      <c r="I263" s="196"/>
      <c r="J263" s="196" t="s">
        <v>29</v>
      </c>
      <c r="K263" s="196"/>
      <c r="L263" s="196" t="str">
        <v xml:space="preserve"> 75.60</v>
      </c>
      <c r="M263" s="196"/>
    </row>
    <row r="264" spans="1:13" ht="14.4" x14ac:dyDescent="0.3">
      <c r="A264" s="189" t="str">
        <f ca="1">IFERROR(__xludf.DUMMYFUNCTION("""COMPUTED_VALUE"""),"CP")</f>
        <v>CP</v>
      </c>
      <c r="B264" s="195" t="str">
        <f ca="1">IFERROR(__xludf.DUMMYFUNCTION("""COMPUTED_VALUE"""),"Taylor Lehmann")</f>
        <v>Taylor Lehmann</v>
      </c>
      <c r="C264" s="189">
        <f ca="1">IFERROR(__xludf.DUMMYFUNCTION("""COMPUTED_VALUE"""),12)</f>
        <v>12</v>
      </c>
      <c r="D264" s="189" t="str">
        <f ca="1">IFERROR(__xludf.DUMMYFUNCTION("""COMPUTED_VALUE"""),"G")</f>
        <v>G</v>
      </c>
      <c r="E264" s="189" t="str">
        <f ca="1">IFERROR(__xludf.DUMMYFUNCTION("""COMPUTED_VALUE"""),"J")</f>
        <v>J</v>
      </c>
      <c r="F264" s="189" t="str">
        <f ca="1">IFERROR(__xludf.DUMMYFUNCTION("""COMPUTED_VALUE"""),"I")</f>
        <v>I</v>
      </c>
      <c r="G264" s="189">
        <f ca="1">IFERROR(__xludf.DUMMYFUNCTION("""COMPUTED_VALUE"""),5)</f>
        <v>5</v>
      </c>
      <c r="H264" s="196"/>
      <c r="I264" s="196"/>
      <c r="J264" s="196"/>
      <c r="K264" s="196"/>
      <c r="L264" s="196" t="str">
        <v/>
      </c>
      <c r="M264" s="196"/>
    </row>
    <row r="265" spans="1:13" ht="14.4" x14ac:dyDescent="0.3">
      <c r="A265" s="189" t="str">
        <f ca="1">IFERROR(__xludf.DUMMYFUNCTION("""COMPUTED_VALUE"""),"CP")</f>
        <v>CP</v>
      </c>
      <c r="B265" s="195" t="str">
        <f ca="1">IFERROR(__xludf.DUMMYFUNCTION("""COMPUTED_VALUE"""),"Adam Sabo")</f>
        <v>Adam Sabo</v>
      </c>
      <c r="C265" s="189">
        <f ca="1">IFERROR(__xludf.DUMMYFUNCTION("""COMPUTED_VALUE"""),11)</f>
        <v>11</v>
      </c>
      <c r="D265" s="189" t="str">
        <f ca="1">IFERROR(__xludf.DUMMYFUNCTION("""COMPUTED_VALUE"""),"B")</f>
        <v>B</v>
      </c>
      <c r="E265" s="189" t="str">
        <f ca="1">IFERROR(__xludf.DUMMYFUNCTION("""COMPUTED_VALUE"""),"J")</f>
        <v>J</v>
      </c>
      <c r="F265" s="189" t="str">
        <f ca="1">IFERROR(__xludf.DUMMYFUNCTION("""COMPUTED_VALUE"""),"I")</f>
        <v>I</v>
      </c>
      <c r="G265" s="189">
        <f ca="1">IFERROR(__xludf.DUMMYFUNCTION("""COMPUTED_VALUE"""),5)</f>
        <v>5</v>
      </c>
      <c r="H265" s="196"/>
      <c r="I265" s="196"/>
      <c r="J265" s="196"/>
      <c r="K265" s="196"/>
      <c r="L265" s="196" t="str">
        <v/>
      </c>
      <c r="M265" s="196"/>
    </row>
    <row r="266" spans="1:13" ht="14.4" x14ac:dyDescent="0.3">
      <c r="A266" s="189" t="str">
        <f ca="1">IFERROR(__xludf.DUMMYFUNCTION("""COMPUTED_VALUE"""),"CP")</f>
        <v>CP</v>
      </c>
      <c r="B266" s="195" t="str">
        <f ca="1">IFERROR(__xludf.DUMMYFUNCTION("""COMPUTED_VALUE"""),"Caleb Cherryholmes-Wesley")</f>
        <v>Caleb Cherryholmes-Wesley</v>
      </c>
      <c r="C266" s="189">
        <f ca="1">IFERROR(__xludf.DUMMYFUNCTION("""COMPUTED_VALUE"""),12)</f>
        <v>12</v>
      </c>
      <c r="D266" s="189" t="str">
        <f ca="1">IFERROR(__xludf.DUMMYFUNCTION("""COMPUTED_VALUE"""),"B")</f>
        <v>B</v>
      </c>
      <c r="E266" s="189" t="str">
        <f ca="1">IFERROR(__xludf.DUMMYFUNCTION("""COMPUTED_VALUE"""),"J")</f>
        <v>J</v>
      </c>
      <c r="F266" s="189" t="str">
        <f ca="1">IFERROR(__xludf.DUMMYFUNCTION("""COMPUTED_VALUE"""),"I")</f>
        <v>I</v>
      </c>
      <c r="G266" s="189">
        <f ca="1">IFERROR(__xludf.DUMMYFUNCTION("""COMPUTED_VALUE"""),5)</f>
        <v>5</v>
      </c>
      <c r="H266" s="196" t="s">
        <v>133</v>
      </c>
      <c r="I266" s="196"/>
      <c r="J266" s="196" t="s">
        <v>29</v>
      </c>
      <c r="K266" s="196"/>
      <c r="L266" s="196" t="str">
        <v xml:space="preserve"> 103.50</v>
      </c>
      <c r="M266" s="196"/>
    </row>
    <row r="267" spans="1:13" ht="14.4" x14ac:dyDescent="0.3">
      <c r="A267" s="189" t="str">
        <f ca="1">IFERROR(__xludf.DUMMYFUNCTION("""COMPUTED_VALUE"""),"CP")</f>
        <v>CP</v>
      </c>
      <c r="B267" s="195" t="str">
        <f ca="1">IFERROR(__xludf.DUMMYFUNCTION("""COMPUTED_VALUE"""),"Liam Johns")</f>
        <v>Liam Johns</v>
      </c>
      <c r="C267" s="189">
        <f ca="1">IFERROR(__xludf.DUMMYFUNCTION("""COMPUTED_VALUE"""),11)</f>
        <v>11</v>
      </c>
      <c r="D267" s="189" t="str">
        <f ca="1">IFERROR(__xludf.DUMMYFUNCTION("""COMPUTED_VALUE"""),"B")</f>
        <v>B</v>
      </c>
      <c r="E267" s="189" t="str">
        <f ca="1">IFERROR(__xludf.DUMMYFUNCTION("""COMPUTED_VALUE"""),"J")</f>
        <v>J</v>
      </c>
      <c r="F267" s="189" t="str">
        <f ca="1">IFERROR(__xludf.DUMMYFUNCTION("""COMPUTED_VALUE"""),"I")</f>
        <v>I</v>
      </c>
      <c r="G267" s="189">
        <f ca="1">IFERROR(__xludf.DUMMYFUNCTION("""COMPUTED_VALUE"""),5)</f>
        <v>5</v>
      </c>
      <c r="H267" s="196" t="s">
        <v>134</v>
      </c>
      <c r="I267" s="196"/>
      <c r="J267" s="196" t="s">
        <v>29</v>
      </c>
      <c r="K267" s="196"/>
      <c r="L267" s="196" t="str">
        <v xml:space="preserve"> 43.00</v>
      </c>
      <c r="M267" s="196"/>
    </row>
    <row r="268" spans="1:13" ht="14.4" x14ac:dyDescent="0.3">
      <c r="A268" s="189" t="str">
        <f ca="1">IFERROR(__xludf.DUMMYFUNCTION("""COMPUTED_VALUE"""),"CP")</f>
        <v>CP</v>
      </c>
      <c r="B268" s="195" t="str">
        <f ca="1">IFERROR(__xludf.DUMMYFUNCTION("""COMPUTED_VALUE"""),"Marcus Dempsey")</f>
        <v>Marcus Dempsey</v>
      </c>
      <c r="C268" s="189">
        <f ca="1">IFERROR(__xludf.DUMMYFUNCTION("""COMPUTED_VALUE"""),12)</f>
        <v>12</v>
      </c>
      <c r="D268" s="189" t="str">
        <f ca="1">IFERROR(__xludf.DUMMYFUNCTION("""COMPUTED_VALUE"""),"B")</f>
        <v>B</v>
      </c>
      <c r="E268" s="189" t="str">
        <f ca="1">IFERROR(__xludf.DUMMYFUNCTION("""COMPUTED_VALUE"""),"J")</f>
        <v>J</v>
      </c>
      <c r="F268" s="189" t="str">
        <f ca="1">IFERROR(__xludf.DUMMYFUNCTION("""COMPUTED_VALUE"""),"I")</f>
        <v>I</v>
      </c>
      <c r="G268" s="189">
        <f ca="1">IFERROR(__xludf.DUMMYFUNCTION("""COMPUTED_VALUE"""),5)</f>
        <v>5</v>
      </c>
      <c r="H268" s="196"/>
      <c r="I268" s="196"/>
      <c r="J268" s="196"/>
      <c r="K268" s="196"/>
      <c r="L268" s="196" t="str">
        <v/>
      </c>
      <c r="M268" s="196"/>
    </row>
    <row r="269" spans="1:13" ht="14.4" x14ac:dyDescent="0.3">
      <c r="A269" s="189" t="str">
        <f ca="1">IFERROR(__xludf.DUMMYFUNCTION("""COMPUTED_VALUE"""),"CP")</f>
        <v>CP</v>
      </c>
      <c r="B269" s="195" t="str">
        <f ca="1">IFERROR(__xludf.DUMMYFUNCTION("""COMPUTED_VALUE"""),"Riley Burgess Carpenter")</f>
        <v>Riley Burgess Carpenter</v>
      </c>
      <c r="C269" s="189">
        <f ca="1">IFERROR(__xludf.DUMMYFUNCTION("""COMPUTED_VALUE"""),12)</f>
        <v>12</v>
      </c>
      <c r="D269" s="189" t="str">
        <f ca="1">IFERROR(__xludf.DUMMYFUNCTION("""COMPUTED_VALUE"""),"B")</f>
        <v>B</v>
      </c>
      <c r="E269" s="189" t="str">
        <f ca="1">IFERROR(__xludf.DUMMYFUNCTION("""COMPUTED_VALUE"""),"J")</f>
        <v>J</v>
      </c>
      <c r="F269" s="189" t="str">
        <f ca="1">IFERROR(__xludf.DUMMYFUNCTION("""COMPUTED_VALUE"""),"I")</f>
        <v>I</v>
      </c>
      <c r="G269" s="189">
        <f ca="1">IFERROR(__xludf.DUMMYFUNCTION("""COMPUTED_VALUE"""),5)</f>
        <v>5</v>
      </c>
      <c r="H269" s="196"/>
      <c r="I269" s="196"/>
      <c r="J269" s="196"/>
      <c r="K269" s="196"/>
      <c r="L269" s="196" t="str">
        <v/>
      </c>
      <c r="M269" s="196"/>
    </row>
    <row r="270" spans="1:13" ht="14.4" x14ac:dyDescent="0.3">
      <c r="A270" s="189" t="str">
        <f ca="1">IFERROR(__xludf.DUMMYFUNCTION("""COMPUTED_VALUE"""),"CP")</f>
        <v>CP</v>
      </c>
      <c r="B270" s="195" t="str">
        <f ca="1">IFERROR(__xludf.DUMMYFUNCTION("""COMPUTED_VALUE"""),"Finn Johns")</f>
        <v>Finn Johns</v>
      </c>
      <c r="C270" s="189">
        <f ca="1">IFERROR(__xludf.DUMMYFUNCTION("""COMPUTED_VALUE"""),15)</f>
        <v>15</v>
      </c>
      <c r="D270" s="189" t="str">
        <f ca="1">IFERROR(__xludf.DUMMYFUNCTION("""COMPUTED_VALUE"""),"B")</f>
        <v>B</v>
      </c>
      <c r="E270" s="189" t="str">
        <f ca="1">IFERROR(__xludf.DUMMYFUNCTION("""COMPUTED_VALUE"""),"S")</f>
        <v>S</v>
      </c>
      <c r="F270" s="189" t="str">
        <f ca="1">IFERROR(__xludf.DUMMYFUNCTION("""COMPUTED_VALUE"""),"S")</f>
        <v>S</v>
      </c>
      <c r="G270" s="189">
        <f ca="1">IFERROR(__xludf.DUMMYFUNCTION("""COMPUTED_VALUE"""),5)</f>
        <v>5</v>
      </c>
      <c r="H270" s="196" t="s">
        <v>135</v>
      </c>
      <c r="I270" s="196"/>
      <c r="J270" s="196" t="s">
        <v>29</v>
      </c>
      <c r="K270" s="196"/>
      <c r="L270" s="196" t="str">
        <v xml:space="preserve"> 149.90</v>
      </c>
      <c r="M270" s="196"/>
    </row>
    <row r="271" spans="1:13" ht="14.4" x14ac:dyDescent="0.3">
      <c r="A271" s="189" t="str">
        <f ca="1">IFERROR(__xludf.DUMMYFUNCTION("""COMPUTED_VALUE"""),"CSC")</f>
        <v>CSC</v>
      </c>
      <c r="B271" s="195" t="str">
        <f ca="1">IFERROR(__xludf.DUMMYFUNCTION("""COMPUTED_VALUE"""),"Annabeth Volosin")</f>
        <v>Annabeth Volosin</v>
      </c>
      <c r="C271" s="189">
        <f ca="1">IFERROR(__xludf.DUMMYFUNCTION("""COMPUTED_VALUE"""),8)</f>
        <v>8</v>
      </c>
      <c r="D271" s="189" t="str">
        <f ca="1">IFERROR(__xludf.DUMMYFUNCTION("""COMPUTED_VALUE"""),"G")</f>
        <v>G</v>
      </c>
      <c r="E271" s="189" t="str">
        <f ca="1">IFERROR(__xludf.DUMMYFUNCTION("""COMPUTED_VALUE"""),"F")</f>
        <v>F</v>
      </c>
      <c r="F271" s="189" t="str">
        <f ca="1">IFERROR(__xludf.DUMMYFUNCTION("""COMPUTED_VALUE"""),"J")</f>
        <v>J</v>
      </c>
      <c r="G271" s="189">
        <f ca="1">IFERROR(__xludf.DUMMYFUNCTION("""COMPUTED_VALUE"""),7)</f>
        <v>7</v>
      </c>
      <c r="H271" s="196"/>
      <c r="I271" s="196"/>
      <c r="J271" s="196"/>
      <c r="K271" s="196"/>
      <c r="L271" s="196" t="str">
        <v/>
      </c>
      <c r="M271" s="196"/>
    </row>
    <row r="272" spans="1:13" ht="14.4" x14ac:dyDescent="0.3">
      <c r="A272" s="189" t="str">
        <f ca="1">IFERROR(__xludf.DUMMYFUNCTION("""COMPUTED_VALUE"""),"CSC")</f>
        <v>CSC</v>
      </c>
      <c r="B272" s="195" t="str">
        <f ca="1">IFERROR(__xludf.DUMMYFUNCTION("""COMPUTED_VALUE"""),"Colette Ungaretti")</f>
        <v>Colette Ungaretti</v>
      </c>
      <c r="C272" s="189">
        <f ca="1">IFERROR(__xludf.DUMMYFUNCTION("""COMPUTED_VALUE"""),9)</f>
        <v>9</v>
      </c>
      <c r="D272" s="189" t="str">
        <f ca="1">IFERROR(__xludf.DUMMYFUNCTION("""COMPUTED_VALUE"""),"G")</f>
        <v>G</v>
      </c>
      <c r="E272" s="189" t="str">
        <f ca="1">IFERROR(__xludf.DUMMYFUNCTION("""COMPUTED_VALUE"""),"F")</f>
        <v>F</v>
      </c>
      <c r="F272" s="189" t="str">
        <f ca="1">IFERROR(__xludf.DUMMYFUNCTION("""COMPUTED_VALUE"""),"J")</f>
        <v>J</v>
      </c>
      <c r="G272" s="189">
        <f ca="1">IFERROR(__xludf.DUMMYFUNCTION("""COMPUTED_VALUE"""),7)</f>
        <v>7</v>
      </c>
      <c r="H272" s="196" t="s">
        <v>39</v>
      </c>
      <c r="I272" s="196"/>
      <c r="J272" s="196" t="s">
        <v>29</v>
      </c>
      <c r="K272" s="196"/>
      <c r="L272" s="196" t="str">
        <v xml:space="preserve"> 41.35</v>
      </c>
      <c r="M272" s="196"/>
    </row>
    <row r="273" spans="1:13" ht="14.4" x14ac:dyDescent="0.3">
      <c r="A273" s="189" t="str">
        <f ca="1">IFERROR(__xludf.DUMMYFUNCTION("""COMPUTED_VALUE"""),"CSC")</f>
        <v>CSC</v>
      </c>
      <c r="B273" s="195" t="str">
        <f ca="1">IFERROR(__xludf.DUMMYFUNCTION("""COMPUTED_VALUE"""),"Elle Powers")</f>
        <v>Elle Powers</v>
      </c>
      <c r="C273" s="189">
        <f ca="1">IFERROR(__xludf.DUMMYFUNCTION("""COMPUTED_VALUE"""),9)</f>
        <v>9</v>
      </c>
      <c r="D273" s="189" t="str">
        <f ca="1">IFERROR(__xludf.DUMMYFUNCTION("""COMPUTED_VALUE"""),"G")</f>
        <v>G</v>
      </c>
      <c r="E273" s="189" t="str">
        <f ca="1">IFERROR(__xludf.DUMMYFUNCTION("""COMPUTED_VALUE"""),"F")</f>
        <v>F</v>
      </c>
      <c r="F273" s="189" t="str">
        <f ca="1">IFERROR(__xludf.DUMMYFUNCTION("""COMPUTED_VALUE"""),"J")</f>
        <v>J</v>
      </c>
      <c r="G273" s="189">
        <f ca="1">IFERROR(__xludf.DUMMYFUNCTION("""COMPUTED_VALUE"""),7)</f>
        <v>7</v>
      </c>
      <c r="H273" s="196" t="s">
        <v>136</v>
      </c>
      <c r="I273" s="196"/>
      <c r="J273" s="196" t="s">
        <v>29</v>
      </c>
      <c r="K273" s="196"/>
      <c r="L273" s="196" t="str">
        <v xml:space="preserve"> 31.50</v>
      </c>
      <c r="M273" s="196"/>
    </row>
    <row r="274" spans="1:13" ht="14.4" x14ac:dyDescent="0.3">
      <c r="A274" s="189" t="str">
        <f ca="1">IFERROR(__xludf.DUMMYFUNCTION("""COMPUTED_VALUE"""),"CSC")</f>
        <v>CSC</v>
      </c>
      <c r="B274" s="195" t="str">
        <f ca="1">IFERROR(__xludf.DUMMYFUNCTION("""COMPUTED_VALUE"""),"Ellie Phillips")</f>
        <v>Ellie Phillips</v>
      </c>
      <c r="C274" s="189">
        <f ca="1">IFERROR(__xludf.DUMMYFUNCTION("""COMPUTED_VALUE"""),9)</f>
        <v>9</v>
      </c>
      <c r="D274" s="189" t="str">
        <f ca="1">IFERROR(__xludf.DUMMYFUNCTION("""COMPUTED_VALUE"""),"G")</f>
        <v>G</v>
      </c>
      <c r="E274" s="189" t="str">
        <f ca="1">IFERROR(__xludf.DUMMYFUNCTION("""COMPUTED_VALUE"""),"F")</f>
        <v>F</v>
      </c>
      <c r="F274" s="189" t="str">
        <f ca="1">IFERROR(__xludf.DUMMYFUNCTION("""COMPUTED_VALUE"""),"J")</f>
        <v>J</v>
      </c>
      <c r="G274" s="189">
        <f ca="1">IFERROR(__xludf.DUMMYFUNCTION("""COMPUTED_VALUE"""),7)</f>
        <v>7</v>
      </c>
      <c r="H274" s="196" t="s">
        <v>137</v>
      </c>
      <c r="I274" s="196"/>
      <c r="J274" s="196" t="s">
        <v>29</v>
      </c>
      <c r="K274" s="196"/>
      <c r="L274" s="196" t="str">
        <v xml:space="preserve"> 64.55</v>
      </c>
      <c r="M274" s="196"/>
    </row>
    <row r="275" spans="1:13" ht="14.4" x14ac:dyDescent="0.3">
      <c r="A275" s="189" t="str">
        <f ca="1">IFERROR(__xludf.DUMMYFUNCTION("""COMPUTED_VALUE"""),"CSC")</f>
        <v>CSC</v>
      </c>
      <c r="B275" s="195" t="str">
        <f ca="1">IFERROR(__xludf.DUMMYFUNCTION("""COMPUTED_VALUE"""),"Estelle Gianoli")</f>
        <v>Estelle Gianoli</v>
      </c>
      <c r="C275" s="189">
        <f ca="1">IFERROR(__xludf.DUMMYFUNCTION("""COMPUTED_VALUE"""),9)</f>
        <v>9</v>
      </c>
      <c r="D275" s="189" t="str">
        <f ca="1">IFERROR(__xludf.DUMMYFUNCTION("""COMPUTED_VALUE"""),"G")</f>
        <v>G</v>
      </c>
      <c r="E275" s="189" t="str">
        <f ca="1">IFERROR(__xludf.DUMMYFUNCTION("""COMPUTED_VALUE"""),"F")</f>
        <v>F</v>
      </c>
      <c r="F275" s="189" t="str">
        <f ca="1">IFERROR(__xludf.DUMMYFUNCTION("""COMPUTED_VALUE"""),"J")</f>
        <v>J</v>
      </c>
      <c r="G275" s="189">
        <f ca="1">IFERROR(__xludf.DUMMYFUNCTION("""COMPUTED_VALUE"""),7)</f>
        <v>7</v>
      </c>
      <c r="H275" s="196" t="s">
        <v>138</v>
      </c>
      <c r="I275" s="196"/>
      <c r="J275" s="196" t="s">
        <v>29</v>
      </c>
      <c r="K275" s="196"/>
      <c r="L275" s="196" t="str">
        <v xml:space="preserve"> 36.50</v>
      </c>
      <c r="M275" s="196"/>
    </row>
    <row r="276" spans="1:13" ht="14.4" x14ac:dyDescent="0.3">
      <c r="A276" s="189" t="str">
        <f ca="1">IFERROR(__xludf.DUMMYFUNCTION("""COMPUTED_VALUE"""),"CSC")</f>
        <v>CSC</v>
      </c>
      <c r="B276" s="195" t="str">
        <f ca="1">IFERROR(__xludf.DUMMYFUNCTION("""COMPUTED_VALUE"""),"Etain Heron")</f>
        <v>Etain Heron</v>
      </c>
      <c r="C276" s="189">
        <f ca="1">IFERROR(__xludf.DUMMYFUNCTION("""COMPUTED_VALUE"""),9)</f>
        <v>9</v>
      </c>
      <c r="D276" s="189" t="str">
        <f ca="1">IFERROR(__xludf.DUMMYFUNCTION("""COMPUTED_VALUE"""),"G")</f>
        <v>G</v>
      </c>
      <c r="E276" s="189" t="str">
        <f ca="1">IFERROR(__xludf.DUMMYFUNCTION("""COMPUTED_VALUE"""),"F")</f>
        <v>F</v>
      </c>
      <c r="F276" s="189" t="str">
        <f ca="1">IFERROR(__xludf.DUMMYFUNCTION("""COMPUTED_VALUE"""),"J")</f>
        <v>J</v>
      </c>
      <c r="G276" s="189">
        <f ca="1">IFERROR(__xludf.DUMMYFUNCTION("""COMPUTED_VALUE"""),7)</f>
        <v>7</v>
      </c>
      <c r="H276" s="196" t="s">
        <v>139</v>
      </c>
      <c r="I276" s="196"/>
      <c r="J276" s="196" t="s">
        <v>29</v>
      </c>
      <c r="K276" s="196"/>
      <c r="L276" s="196" t="str">
        <v xml:space="preserve"> 25.90</v>
      </c>
      <c r="M276" s="196"/>
    </row>
    <row r="277" spans="1:13" ht="14.4" x14ac:dyDescent="0.3">
      <c r="A277" s="189" t="str">
        <f ca="1">IFERROR(__xludf.DUMMYFUNCTION("""COMPUTED_VALUE"""),"CSC")</f>
        <v>CSC</v>
      </c>
      <c r="B277" s="195" t="str">
        <f ca="1">IFERROR(__xludf.DUMMYFUNCTION("""COMPUTED_VALUE"""),"Fiorentina Vargas")</f>
        <v>Fiorentina Vargas</v>
      </c>
      <c r="C277" s="189">
        <f ca="1">IFERROR(__xludf.DUMMYFUNCTION("""COMPUTED_VALUE"""),10)</f>
        <v>10</v>
      </c>
      <c r="D277" s="189" t="str">
        <f ca="1">IFERROR(__xludf.DUMMYFUNCTION("""COMPUTED_VALUE"""),"G")</f>
        <v>G</v>
      </c>
      <c r="E277" s="189" t="str">
        <f ca="1">IFERROR(__xludf.DUMMYFUNCTION("""COMPUTED_VALUE"""),"F")</f>
        <v>F</v>
      </c>
      <c r="F277" s="189" t="str">
        <f ca="1">IFERROR(__xludf.DUMMYFUNCTION("""COMPUTED_VALUE"""),"J")</f>
        <v>J</v>
      </c>
      <c r="G277" s="189">
        <f ca="1">IFERROR(__xludf.DUMMYFUNCTION("""COMPUTED_VALUE"""),7)</f>
        <v>7</v>
      </c>
      <c r="H277" s="196" t="s">
        <v>140</v>
      </c>
      <c r="I277" s="196"/>
      <c r="J277" s="196" t="s">
        <v>29</v>
      </c>
      <c r="K277" s="196"/>
      <c r="L277" s="196" t="str">
        <v xml:space="preserve"> 53.00</v>
      </c>
      <c r="M277" s="196"/>
    </row>
    <row r="278" spans="1:13" ht="14.4" x14ac:dyDescent="0.3">
      <c r="A278" s="189" t="str">
        <f ca="1">IFERROR(__xludf.DUMMYFUNCTION("""COMPUTED_VALUE"""),"CSC")</f>
        <v>CSC</v>
      </c>
      <c r="B278" s="195" t="str">
        <f ca="1">IFERROR(__xludf.DUMMYFUNCTION("""COMPUTED_VALUE"""),"Isla Powers")</f>
        <v>Isla Powers</v>
      </c>
      <c r="C278" s="189">
        <f ca="1">IFERROR(__xludf.DUMMYFUNCTION("""COMPUTED_VALUE"""),7)</f>
        <v>7</v>
      </c>
      <c r="D278" s="189" t="str">
        <f ca="1">IFERROR(__xludf.DUMMYFUNCTION("""COMPUTED_VALUE"""),"G")</f>
        <v>G</v>
      </c>
      <c r="E278" s="189" t="str">
        <f ca="1">IFERROR(__xludf.DUMMYFUNCTION("""COMPUTED_VALUE"""),"F")</f>
        <v>F</v>
      </c>
      <c r="F278" s="189" t="str">
        <f ca="1">IFERROR(__xludf.DUMMYFUNCTION("""COMPUTED_VALUE"""),"J")</f>
        <v>J</v>
      </c>
      <c r="G278" s="189">
        <f ca="1">IFERROR(__xludf.DUMMYFUNCTION("""COMPUTED_VALUE"""),7)</f>
        <v>7</v>
      </c>
      <c r="H278" s="196"/>
      <c r="I278" s="196"/>
      <c r="J278" s="196"/>
      <c r="K278" s="196"/>
      <c r="L278" s="196" t="str">
        <v/>
      </c>
      <c r="M278" s="196"/>
    </row>
    <row r="279" spans="1:13" ht="14.4" x14ac:dyDescent="0.3">
      <c r="A279" s="189" t="str">
        <f ca="1">IFERROR(__xludf.DUMMYFUNCTION("""COMPUTED_VALUE"""),"CSC")</f>
        <v>CSC</v>
      </c>
      <c r="B279" s="195" t="str">
        <f ca="1">IFERROR(__xludf.DUMMYFUNCTION("""COMPUTED_VALUE"""),"Jolene Fernandes")</f>
        <v>Jolene Fernandes</v>
      </c>
      <c r="C279" s="189">
        <f ca="1">IFERROR(__xludf.DUMMYFUNCTION("""COMPUTED_VALUE"""),8)</f>
        <v>8</v>
      </c>
      <c r="D279" s="189" t="str">
        <f ca="1">IFERROR(__xludf.DUMMYFUNCTION("""COMPUTED_VALUE"""),"G")</f>
        <v>G</v>
      </c>
      <c r="E279" s="189" t="str">
        <f ca="1">IFERROR(__xludf.DUMMYFUNCTION("""COMPUTED_VALUE"""),"F")</f>
        <v>F</v>
      </c>
      <c r="F279" s="189" t="str">
        <f ca="1">IFERROR(__xludf.DUMMYFUNCTION("""COMPUTED_VALUE"""),"J")</f>
        <v>J</v>
      </c>
      <c r="G279" s="189">
        <f ca="1">IFERROR(__xludf.DUMMYFUNCTION("""COMPUTED_VALUE"""),7)</f>
        <v>7</v>
      </c>
      <c r="H279" s="196" t="s">
        <v>141</v>
      </c>
      <c r="I279" s="196"/>
      <c r="J279" s="196" t="s">
        <v>29</v>
      </c>
      <c r="K279" s="196"/>
      <c r="L279" s="196" t="str">
        <v xml:space="preserve"> 46.10</v>
      </c>
      <c r="M279" s="196"/>
    </row>
    <row r="280" spans="1:13" ht="14.4" x14ac:dyDescent="0.3">
      <c r="A280" s="189" t="str">
        <f ca="1">IFERROR(__xludf.DUMMYFUNCTION("""COMPUTED_VALUE"""),"CSC")</f>
        <v>CSC</v>
      </c>
      <c r="B280" s="195" t="str">
        <f ca="1">IFERROR(__xludf.DUMMYFUNCTION("""COMPUTED_VALUE"""),"June Benson")</f>
        <v>June Benson</v>
      </c>
      <c r="C280" s="189">
        <f ca="1">IFERROR(__xludf.DUMMYFUNCTION("""COMPUTED_VALUE"""),8)</f>
        <v>8</v>
      </c>
      <c r="D280" s="189" t="str">
        <f ca="1">IFERROR(__xludf.DUMMYFUNCTION("""COMPUTED_VALUE"""),"G")</f>
        <v>G</v>
      </c>
      <c r="E280" s="189" t="str">
        <f ca="1">IFERROR(__xludf.DUMMYFUNCTION("""COMPUTED_VALUE"""),"F")</f>
        <v>F</v>
      </c>
      <c r="F280" s="189" t="str">
        <f ca="1">IFERROR(__xludf.DUMMYFUNCTION("""COMPUTED_VALUE"""),"J")</f>
        <v>J</v>
      </c>
      <c r="G280" s="189">
        <f ca="1">IFERROR(__xludf.DUMMYFUNCTION("""COMPUTED_VALUE"""),7)</f>
        <v>7</v>
      </c>
      <c r="H280" s="196" t="s">
        <v>142</v>
      </c>
      <c r="I280" s="196"/>
      <c r="J280" s="196" t="s">
        <v>29</v>
      </c>
      <c r="K280" s="196"/>
      <c r="L280" s="196" t="str">
        <v xml:space="preserve"> 34.95</v>
      </c>
      <c r="M280" s="196"/>
    </row>
    <row r="281" spans="1:13" ht="14.4" x14ac:dyDescent="0.3">
      <c r="A281" s="189" t="str">
        <f ca="1">IFERROR(__xludf.DUMMYFUNCTION("""COMPUTED_VALUE"""),"CSC")</f>
        <v>CSC</v>
      </c>
      <c r="B281" s="195" t="str">
        <f ca="1">IFERROR(__xludf.DUMMYFUNCTION("""COMPUTED_VALUE"""),"Kelsie Trieu")</f>
        <v>Kelsie Trieu</v>
      </c>
      <c r="C281" s="189">
        <f ca="1">IFERROR(__xludf.DUMMYFUNCTION("""COMPUTED_VALUE"""),7)</f>
        <v>7</v>
      </c>
      <c r="D281" s="189" t="str">
        <f ca="1">IFERROR(__xludf.DUMMYFUNCTION("""COMPUTED_VALUE"""),"G")</f>
        <v>G</v>
      </c>
      <c r="E281" s="189" t="str">
        <f ca="1">IFERROR(__xludf.DUMMYFUNCTION("""COMPUTED_VALUE"""),"F")</f>
        <v>F</v>
      </c>
      <c r="F281" s="189" t="str">
        <f ca="1">IFERROR(__xludf.DUMMYFUNCTION("""COMPUTED_VALUE"""),"J")</f>
        <v>J</v>
      </c>
      <c r="G281" s="189">
        <f ca="1">IFERROR(__xludf.DUMMYFUNCTION("""COMPUTED_VALUE"""),7)</f>
        <v>7</v>
      </c>
      <c r="H281" s="196" t="s">
        <v>143</v>
      </c>
      <c r="I281" s="196"/>
      <c r="J281" s="196" t="s">
        <v>29</v>
      </c>
      <c r="K281" s="196"/>
      <c r="L281" s="196" t="str">
        <v xml:space="preserve"> 35.40</v>
      </c>
      <c r="M281" s="196"/>
    </row>
    <row r="282" spans="1:13" ht="14.4" x14ac:dyDescent="0.3">
      <c r="A282" s="189" t="str">
        <f ca="1">IFERROR(__xludf.DUMMYFUNCTION("""COMPUTED_VALUE"""),"CSC")</f>
        <v>CSC</v>
      </c>
      <c r="B282" s="195" t="str">
        <f ca="1">IFERROR(__xludf.DUMMYFUNCTION("""COMPUTED_VALUE"""),"Augusto Sondoval")</f>
        <v>Augusto Sondoval</v>
      </c>
      <c r="C282" s="189">
        <f ca="1">IFERROR(__xludf.DUMMYFUNCTION("""COMPUTED_VALUE"""),8)</f>
        <v>8</v>
      </c>
      <c r="D282" s="189" t="str">
        <f ca="1">IFERROR(__xludf.DUMMYFUNCTION("""COMPUTED_VALUE"""),"B")</f>
        <v>B</v>
      </c>
      <c r="E282" s="189" t="str">
        <f ca="1">IFERROR(__xludf.DUMMYFUNCTION("""COMPUTED_VALUE"""),"F")</f>
        <v>F</v>
      </c>
      <c r="F282" s="189" t="str">
        <f ca="1">IFERROR(__xludf.DUMMYFUNCTION("""COMPUTED_VALUE"""),"J")</f>
        <v>J</v>
      </c>
      <c r="G282" s="189">
        <f ca="1">IFERROR(__xludf.DUMMYFUNCTION("""COMPUTED_VALUE"""),7)</f>
        <v>7</v>
      </c>
      <c r="H282" s="196"/>
      <c r="I282" s="196"/>
      <c r="J282" s="196"/>
      <c r="K282" s="196"/>
      <c r="L282" s="196" t="str">
        <v/>
      </c>
      <c r="M282" s="196"/>
    </row>
    <row r="283" spans="1:13" ht="14.4" x14ac:dyDescent="0.3">
      <c r="A283" s="189" t="str">
        <f ca="1">IFERROR(__xludf.DUMMYFUNCTION("""COMPUTED_VALUE"""),"CSC")</f>
        <v>CSC</v>
      </c>
      <c r="B283" s="195" t="str">
        <f ca="1">IFERROR(__xludf.DUMMYFUNCTION("""COMPUTED_VALUE"""),"Drexel Gianoli")</f>
        <v>Drexel Gianoli</v>
      </c>
      <c r="C283" s="189">
        <f ca="1">IFERROR(__xludf.DUMMYFUNCTION("""COMPUTED_VALUE"""),6)</f>
        <v>6</v>
      </c>
      <c r="D283" s="189" t="str">
        <f ca="1">IFERROR(__xludf.DUMMYFUNCTION("""COMPUTED_VALUE"""),"B")</f>
        <v>B</v>
      </c>
      <c r="E283" s="189" t="str">
        <f ca="1">IFERROR(__xludf.DUMMYFUNCTION("""COMPUTED_VALUE"""),"F")</f>
        <v>F</v>
      </c>
      <c r="F283" s="189" t="str">
        <f ca="1">IFERROR(__xludf.DUMMYFUNCTION("""COMPUTED_VALUE"""),"J")</f>
        <v>J</v>
      </c>
      <c r="G283" s="189">
        <f ca="1">IFERROR(__xludf.DUMMYFUNCTION("""COMPUTED_VALUE"""),7)</f>
        <v>7</v>
      </c>
      <c r="H283" s="196"/>
      <c r="I283" s="196"/>
      <c r="J283" s="196"/>
      <c r="K283" s="196"/>
      <c r="L283" s="196" t="str">
        <v/>
      </c>
      <c r="M283" s="196"/>
    </row>
    <row r="284" spans="1:13" ht="14.4" x14ac:dyDescent="0.3">
      <c r="A284" s="189" t="str">
        <f ca="1">IFERROR(__xludf.DUMMYFUNCTION("""COMPUTED_VALUE"""),"CSC")</f>
        <v>CSC</v>
      </c>
      <c r="B284" s="195" t="str">
        <f ca="1">IFERROR(__xludf.DUMMYFUNCTION("""COMPUTED_VALUE"""),"Griffin Mitchell")</f>
        <v>Griffin Mitchell</v>
      </c>
      <c r="C284" s="189">
        <f ca="1">IFERROR(__xludf.DUMMYFUNCTION("""COMPUTED_VALUE"""),10)</f>
        <v>10</v>
      </c>
      <c r="D284" s="189" t="str">
        <f ca="1">IFERROR(__xludf.DUMMYFUNCTION("""COMPUTED_VALUE"""),"B")</f>
        <v>B</v>
      </c>
      <c r="E284" s="189" t="str">
        <f ca="1">IFERROR(__xludf.DUMMYFUNCTION("""COMPUTED_VALUE"""),"F")</f>
        <v>F</v>
      </c>
      <c r="F284" s="189" t="str">
        <f ca="1">IFERROR(__xludf.DUMMYFUNCTION("""COMPUTED_VALUE"""),"J")</f>
        <v>J</v>
      </c>
      <c r="G284" s="189">
        <f ca="1">IFERROR(__xludf.DUMMYFUNCTION("""COMPUTED_VALUE"""),7)</f>
        <v>7</v>
      </c>
      <c r="H284" s="196" t="s">
        <v>144</v>
      </c>
      <c r="I284" s="196"/>
      <c r="J284" s="196" t="s">
        <v>29</v>
      </c>
      <c r="K284" s="196"/>
      <c r="L284" s="196" t="str">
        <v xml:space="preserve"> 39.20</v>
      </c>
      <c r="M284" s="196"/>
    </row>
    <row r="285" spans="1:13" ht="14.4" x14ac:dyDescent="0.3">
      <c r="A285" s="189" t="str">
        <f ca="1">IFERROR(__xludf.DUMMYFUNCTION("""COMPUTED_VALUE"""),"CSC")</f>
        <v>CSC</v>
      </c>
      <c r="B285" s="195" t="str">
        <f ca="1">IFERROR(__xludf.DUMMYFUNCTION("""COMPUTED_VALUE"""),"Liam Volosin")</f>
        <v>Liam Volosin</v>
      </c>
      <c r="C285" s="189">
        <f ca="1">IFERROR(__xludf.DUMMYFUNCTION("""COMPUTED_VALUE"""),6)</f>
        <v>6</v>
      </c>
      <c r="D285" s="189" t="str">
        <f ca="1">IFERROR(__xludf.DUMMYFUNCTION("""COMPUTED_VALUE"""),"B")</f>
        <v>B</v>
      </c>
      <c r="E285" s="189" t="str">
        <f ca="1">IFERROR(__xludf.DUMMYFUNCTION("""COMPUTED_VALUE"""),"F")</f>
        <v>F</v>
      </c>
      <c r="F285" s="189" t="str">
        <f ca="1">IFERROR(__xludf.DUMMYFUNCTION("""COMPUTED_VALUE"""),"J")</f>
        <v>J</v>
      </c>
      <c r="G285" s="189">
        <f ca="1">IFERROR(__xludf.DUMMYFUNCTION("""COMPUTED_VALUE"""),7)</f>
        <v>7</v>
      </c>
      <c r="H285" s="196"/>
      <c r="I285" s="196"/>
      <c r="J285" s="196"/>
      <c r="K285" s="196"/>
      <c r="L285" s="196" t="str">
        <v/>
      </c>
      <c r="M285" s="196"/>
    </row>
    <row r="286" spans="1:13" ht="14.4" x14ac:dyDescent="0.3">
      <c r="A286" s="189" t="str">
        <f ca="1">IFERROR(__xludf.DUMMYFUNCTION("""COMPUTED_VALUE"""),"CSC")</f>
        <v>CSC</v>
      </c>
      <c r="B286" s="195" t="str">
        <f ca="1">IFERROR(__xludf.DUMMYFUNCTION("""COMPUTED_VALUE"""),"Nathan Pierece")</f>
        <v>Nathan Pierece</v>
      </c>
      <c r="C286" s="189">
        <f ca="1">IFERROR(__xludf.DUMMYFUNCTION("""COMPUTED_VALUE"""),10)</f>
        <v>10</v>
      </c>
      <c r="D286" s="189" t="str">
        <f ca="1">IFERROR(__xludf.DUMMYFUNCTION("""COMPUTED_VALUE"""),"B")</f>
        <v>B</v>
      </c>
      <c r="E286" s="189" t="str">
        <f ca="1">IFERROR(__xludf.DUMMYFUNCTION("""COMPUTED_VALUE"""),"F")</f>
        <v>F</v>
      </c>
      <c r="F286" s="189" t="str">
        <f ca="1">IFERROR(__xludf.DUMMYFUNCTION("""COMPUTED_VALUE"""),"J")</f>
        <v>J</v>
      </c>
      <c r="G286" s="189">
        <f ca="1">IFERROR(__xludf.DUMMYFUNCTION("""COMPUTED_VALUE"""),7)</f>
        <v>7</v>
      </c>
      <c r="H286" s="196" t="s">
        <v>145</v>
      </c>
      <c r="I286" s="196"/>
      <c r="J286" s="196" t="s">
        <v>64</v>
      </c>
      <c r="K286" s="196"/>
      <c r="L286" s="196" t="str">
        <v xml:space="preserve"> -72.55</v>
      </c>
      <c r="M286" s="196"/>
    </row>
    <row r="287" spans="1:13" ht="14.4" x14ac:dyDescent="0.3">
      <c r="A287" s="189" t="str">
        <f ca="1">IFERROR(__xludf.DUMMYFUNCTION("""COMPUTED_VALUE"""),"CSC")</f>
        <v>CSC</v>
      </c>
      <c r="B287" s="195" t="str">
        <f ca="1">IFERROR(__xludf.DUMMYFUNCTION("""COMPUTED_VALUE"""),"Noah Pierece")</f>
        <v>Noah Pierece</v>
      </c>
      <c r="C287" s="189">
        <f ca="1">IFERROR(__xludf.DUMMYFUNCTION("""COMPUTED_VALUE"""),8)</f>
        <v>8</v>
      </c>
      <c r="D287" s="189" t="str">
        <f ca="1">IFERROR(__xludf.DUMMYFUNCTION("""COMPUTED_VALUE"""),"B")</f>
        <v>B</v>
      </c>
      <c r="E287" s="189" t="str">
        <f ca="1">IFERROR(__xludf.DUMMYFUNCTION("""COMPUTED_VALUE"""),"F")</f>
        <v>F</v>
      </c>
      <c r="F287" s="189" t="str">
        <f ca="1">IFERROR(__xludf.DUMMYFUNCTION("""COMPUTED_VALUE"""),"J")</f>
        <v>J</v>
      </c>
      <c r="G287" s="189">
        <f ca="1">IFERROR(__xludf.DUMMYFUNCTION("""COMPUTED_VALUE"""),7)</f>
        <v>7</v>
      </c>
      <c r="H287" s="196" t="s">
        <v>146</v>
      </c>
      <c r="I287" s="196"/>
      <c r="J287" s="196" t="s">
        <v>29</v>
      </c>
      <c r="K287" s="196"/>
      <c r="L287" s="196" t="str">
        <v xml:space="preserve"> 60.90</v>
      </c>
      <c r="M287" s="196"/>
    </row>
    <row r="288" spans="1:13" ht="14.4" x14ac:dyDescent="0.3">
      <c r="A288" s="189" t="str">
        <f ca="1">IFERROR(__xludf.DUMMYFUNCTION("""COMPUTED_VALUE"""),"CSC")</f>
        <v>CSC</v>
      </c>
      <c r="B288" s="195" t="str">
        <f ca="1">IFERROR(__xludf.DUMMYFUNCTION("""COMPUTED_VALUE"""),"Ruby Herbig")</f>
        <v>Ruby Herbig</v>
      </c>
      <c r="C288" s="189">
        <f ca="1">IFERROR(__xludf.DUMMYFUNCTION("""COMPUTED_VALUE"""),7)</f>
        <v>7</v>
      </c>
      <c r="D288" s="189" t="str">
        <f ca="1">IFERROR(__xludf.DUMMYFUNCTION("""COMPUTED_VALUE"""),"B")</f>
        <v>B</v>
      </c>
      <c r="E288" s="189" t="str">
        <f ca="1">IFERROR(__xludf.DUMMYFUNCTION("""COMPUTED_VALUE"""),"F")</f>
        <v>F</v>
      </c>
      <c r="F288" s="189" t="str">
        <f ca="1">IFERROR(__xludf.DUMMYFUNCTION("""COMPUTED_VALUE"""),"J")</f>
        <v>J</v>
      </c>
      <c r="G288" s="189">
        <f ca="1">IFERROR(__xludf.DUMMYFUNCTION("""COMPUTED_VALUE"""),7)</f>
        <v>7</v>
      </c>
      <c r="H288" s="196"/>
      <c r="I288" s="196"/>
      <c r="J288" s="196"/>
      <c r="K288" s="196"/>
      <c r="L288" s="196" t="str">
        <v/>
      </c>
      <c r="M288" s="196"/>
    </row>
    <row r="289" spans="1:13" ht="14.4" x14ac:dyDescent="0.3">
      <c r="A289" s="189" t="str">
        <f ca="1">IFERROR(__xludf.DUMMYFUNCTION("""COMPUTED_VALUE"""),"CSC")</f>
        <v>CSC</v>
      </c>
      <c r="B289" s="195" t="str">
        <f ca="1">IFERROR(__xludf.DUMMYFUNCTION("""COMPUTED_VALUE"""),"Stevie Simmons")</f>
        <v>Stevie Simmons</v>
      </c>
      <c r="C289" s="189">
        <f ca="1">IFERROR(__xludf.DUMMYFUNCTION("""COMPUTED_VALUE"""),8)</f>
        <v>8</v>
      </c>
      <c r="D289" s="189" t="str">
        <f ca="1">IFERROR(__xludf.DUMMYFUNCTION("""COMPUTED_VALUE"""),"B")</f>
        <v>B</v>
      </c>
      <c r="E289" s="189" t="str">
        <f ca="1">IFERROR(__xludf.DUMMYFUNCTION("""COMPUTED_VALUE"""),"F")</f>
        <v>F</v>
      </c>
      <c r="F289" s="189" t="str">
        <f ca="1">IFERROR(__xludf.DUMMYFUNCTION("""COMPUTED_VALUE"""),"J")</f>
        <v>J</v>
      </c>
      <c r="G289" s="189">
        <f ca="1">IFERROR(__xludf.DUMMYFUNCTION("""COMPUTED_VALUE"""),7)</f>
        <v>7</v>
      </c>
      <c r="H289" s="196" t="s">
        <v>147</v>
      </c>
      <c r="I289" s="196"/>
      <c r="J289" s="196" t="s">
        <v>29</v>
      </c>
      <c r="K289" s="196"/>
      <c r="L289" s="196" t="str">
        <v xml:space="preserve"> 38.40</v>
      </c>
      <c r="M289" s="196"/>
    </row>
    <row r="290" spans="1:13" ht="14.4" x14ac:dyDescent="0.3">
      <c r="A290" s="189" t="str">
        <f ca="1">IFERROR(__xludf.DUMMYFUNCTION("""COMPUTED_VALUE"""),"CSC")</f>
        <v>CSC</v>
      </c>
      <c r="B290" s="195" t="str">
        <f ca="1">IFERROR(__xludf.DUMMYFUNCTION("""COMPUTED_VALUE"""),"Gianna Hess")</f>
        <v>Gianna Hess</v>
      </c>
      <c r="C290" s="189">
        <f ca="1">IFERROR(__xludf.DUMMYFUNCTION("""COMPUTED_VALUE"""),13)</f>
        <v>13</v>
      </c>
      <c r="D290" s="189" t="str">
        <f ca="1">IFERROR(__xludf.DUMMYFUNCTION("""COMPUTED_VALUE"""),"G")</f>
        <v>G</v>
      </c>
      <c r="E290" s="189" t="str">
        <f ca="1">IFERROR(__xludf.DUMMYFUNCTION("""COMPUTED_VALUE"""),"I")</f>
        <v>I</v>
      </c>
      <c r="F290" s="189" t="str">
        <f ca="1">IFERROR(__xludf.DUMMYFUNCTION("""COMPUTED_VALUE"""),"S")</f>
        <v>S</v>
      </c>
      <c r="G290" s="189">
        <f ca="1">IFERROR(__xludf.DUMMYFUNCTION("""COMPUTED_VALUE"""),7)</f>
        <v>7</v>
      </c>
      <c r="H290" s="196"/>
      <c r="I290" s="196"/>
      <c r="J290" s="196"/>
      <c r="K290" s="196"/>
      <c r="L290" s="196" t="str">
        <v/>
      </c>
      <c r="M290" s="196"/>
    </row>
    <row r="291" spans="1:13" ht="14.4" x14ac:dyDescent="0.3">
      <c r="A291" s="189" t="str">
        <f ca="1">IFERROR(__xludf.DUMMYFUNCTION("""COMPUTED_VALUE"""),"CSC")</f>
        <v>CSC</v>
      </c>
      <c r="B291" s="195" t="str">
        <f ca="1">IFERROR(__xludf.DUMMYFUNCTION("""COMPUTED_VALUE"""),"Hannah Tran")</f>
        <v>Hannah Tran</v>
      </c>
      <c r="C291" s="189">
        <f ca="1">IFERROR(__xludf.DUMMYFUNCTION("""COMPUTED_VALUE"""),13)</f>
        <v>13</v>
      </c>
      <c r="D291" s="189" t="str">
        <f ca="1">IFERROR(__xludf.DUMMYFUNCTION("""COMPUTED_VALUE"""),"G")</f>
        <v>G</v>
      </c>
      <c r="E291" s="189" t="str">
        <f ca="1">IFERROR(__xludf.DUMMYFUNCTION("""COMPUTED_VALUE"""),"I")</f>
        <v>I</v>
      </c>
      <c r="F291" s="189" t="str">
        <f ca="1">IFERROR(__xludf.DUMMYFUNCTION("""COMPUTED_VALUE"""),"S")</f>
        <v>S</v>
      </c>
      <c r="G291" s="189">
        <f ca="1">IFERROR(__xludf.DUMMYFUNCTION("""COMPUTED_VALUE"""),7)</f>
        <v>7</v>
      </c>
      <c r="H291" s="196"/>
      <c r="I291" s="196"/>
      <c r="J291" s="196"/>
      <c r="K291" s="196"/>
      <c r="L291" s="196" t="str">
        <v/>
      </c>
      <c r="M291" s="196"/>
    </row>
    <row r="292" spans="1:13" ht="14.4" x14ac:dyDescent="0.3">
      <c r="A292" s="189" t="str">
        <f ca="1">IFERROR(__xludf.DUMMYFUNCTION("""COMPUTED_VALUE"""),"CSC")</f>
        <v>CSC</v>
      </c>
      <c r="B292" s="195" t="str">
        <f ca="1">IFERROR(__xludf.DUMMYFUNCTION("""COMPUTED_VALUE"""),"Jenna Wathen")</f>
        <v>Jenna Wathen</v>
      </c>
      <c r="C292" s="189">
        <f ca="1">IFERROR(__xludf.DUMMYFUNCTION("""COMPUTED_VALUE"""),14)</f>
        <v>14</v>
      </c>
      <c r="D292" s="189" t="str">
        <f ca="1">IFERROR(__xludf.DUMMYFUNCTION("""COMPUTED_VALUE"""),"G")</f>
        <v>G</v>
      </c>
      <c r="E292" s="189" t="str">
        <f ca="1">IFERROR(__xludf.DUMMYFUNCTION("""COMPUTED_VALUE"""),"I")</f>
        <v>I</v>
      </c>
      <c r="F292" s="189" t="str">
        <f ca="1">IFERROR(__xludf.DUMMYFUNCTION("""COMPUTED_VALUE"""),"S")</f>
        <v>S</v>
      </c>
      <c r="G292" s="189">
        <f ca="1">IFERROR(__xludf.DUMMYFUNCTION("""COMPUTED_VALUE"""),7)</f>
        <v>7</v>
      </c>
      <c r="H292" s="196" t="s">
        <v>148</v>
      </c>
      <c r="I292" s="196"/>
      <c r="J292" s="196" t="s">
        <v>64</v>
      </c>
      <c r="K292" s="196"/>
      <c r="L292" s="196" t="str">
        <v xml:space="preserve"> -150.10</v>
      </c>
      <c r="M292" s="196"/>
    </row>
    <row r="293" spans="1:13" ht="14.4" x14ac:dyDescent="0.3">
      <c r="A293" s="189" t="str">
        <f ca="1">IFERROR(__xludf.DUMMYFUNCTION("""COMPUTED_VALUE"""),"CSC")</f>
        <v>CSC</v>
      </c>
      <c r="B293" s="195" t="str">
        <f ca="1">IFERROR(__xludf.DUMMYFUNCTION("""COMPUTED_VALUE"""),"Karie Egan")</f>
        <v>Karie Egan</v>
      </c>
      <c r="C293" s="189">
        <f ca="1">IFERROR(__xludf.DUMMYFUNCTION("""COMPUTED_VALUE"""),13)</f>
        <v>13</v>
      </c>
      <c r="D293" s="189" t="str">
        <f ca="1">IFERROR(__xludf.DUMMYFUNCTION("""COMPUTED_VALUE"""),"G")</f>
        <v>G</v>
      </c>
      <c r="E293" s="189" t="str">
        <f ca="1">IFERROR(__xludf.DUMMYFUNCTION("""COMPUTED_VALUE"""),"I")</f>
        <v>I</v>
      </c>
      <c r="F293" s="189" t="str">
        <f ca="1">IFERROR(__xludf.DUMMYFUNCTION("""COMPUTED_VALUE"""),"S")</f>
        <v>S</v>
      </c>
      <c r="G293" s="189">
        <f ca="1">IFERROR(__xludf.DUMMYFUNCTION("""COMPUTED_VALUE"""),7)</f>
        <v>7</v>
      </c>
      <c r="H293" s="196" t="s">
        <v>149</v>
      </c>
      <c r="I293" s="196"/>
      <c r="J293" s="196" t="s">
        <v>29</v>
      </c>
      <c r="K293" s="196"/>
      <c r="L293" s="196" t="str">
        <v xml:space="preserve"> 92.30</v>
      </c>
      <c r="M293" s="196"/>
    </row>
    <row r="294" spans="1:13" ht="14.4" x14ac:dyDescent="0.3">
      <c r="A294" s="189" t="str">
        <f ca="1">IFERROR(__xludf.DUMMYFUNCTION("""COMPUTED_VALUE"""),"CSC")</f>
        <v>CSC</v>
      </c>
      <c r="B294" s="195" t="str">
        <f ca="1">IFERROR(__xludf.DUMMYFUNCTION("""COMPUTED_VALUE"""),"Soraya Lora-Pena")</f>
        <v>Soraya Lora-Pena</v>
      </c>
      <c r="C294" s="189">
        <f ca="1">IFERROR(__xludf.DUMMYFUNCTION("""COMPUTED_VALUE"""),13)</f>
        <v>13</v>
      </c>
      <c r="D294" s="189" t="str">
        <f ca="1">IFERROR(__xludf.DUMMYFUNCTION("""COMPUTED_VALUE"""),"G")</f>
        <v>G</v>
      </c>
      <c r="E294" s="189" t="str">
        <f ca="1">IFERROR(__xludf.DUMMYFUNCTION("""COMPUTED_VALUE"""),"I")</f>
        <v>I</v>
      </c>
      <c r="F294" s="189" t="str">
        <f ca="1">IFERROR(__xludf.DUMMYFUNCTION("""COMPUTED_VALUE"""),"S")</f>
        <v>S</v>
      </c>
      <c r="G294" s="189">
        <f ca="1">IFERROR(__xludf.DUMMYFUNCTION("""COMPUTED_VALUE"""),7)</f>
        <v>7</v>
      </c>
      <c r="H294" s="196" t="s">
        <v>150</v>
      </c>
      <c r="I294" s="196"/>
      <c r="J294" s="196" t="s">
        <v>29</v>
      </c>
      <c r="K294" s="196"/>
      <c r="L294" s="196" t="str">
        <v xml:space="preserve"> 104.90</v>
      </c>
      <c r="M294" s="196"/>
    </row>
    <row r="295" spans="1:13" ht="14.4" x14ac:dyDescent="0.3">
      <c r="A295" s="189" t="str">
        <f ca="1">IFERROR(__xludf.DUMMYFUNCTION("""COMPUTED_VALUE"""),"CSC")</f>
        <v>CSC</v>
      </c>
      <c r="B295" s="195" t="str">
        <f ca="1">IFERROR(__xludf.DUMMYFUNCTION("""COMPUTED_VALUE"""),"Carter Jenkins")</f>
        <v>Carter Jenkins</v>
      </c>
      <c r="C295" s="189">
        <f ca="1">IFERROR(__xludf.DUMMYFUNCTION("""COMPUTED_VALUE"""),13)</f>
        <v>13</v>
      </c>
      <c r="D295" s="189" t="str">
        <f ca="1">IFERROR(__xludf.DUMMYFUNCTION("""COMPUTED_VALUE"""),"B")</f>
        <v>B</v>
      </c>
      <c r="E295" s="189" t="str">
        <f ca="1">IFERROR(__xludf.DUMMYFUNCTION("""COMPUTED_VALUE"""),"I")</f>
        <v>I</v>
      </c>
      <c r="F295" s="189" t="str">
        <f ca="1">IFERROR(__xludf.DUMMYFUNCTION("""COMPUTED_VALUE"""),"S")</f>
        <v>S</v>
      </c>
      <c r="G295" s="189">
        <f ca="1">IFERROR(__xludf.DUMMYFUNCTION("""COMPUTED_VALUE"""),7)</f>
        <v>7</v>
      </c>
      <c r="H295" s="196" t="s">
        <v>151</v>
      </c>
      <c r="I295" s="196"/>
      <c r="J295" s="196" t="s">
        <v>29</v>
      </c>
      <c r="K295" s="196"/>
      <c r="L295" s="196" t="str">
        <v xml:space="preserve"> 90.85</v>
      </c>
      <c r="M295" s="196"/>
    </row>
    <row r="296" spans="1:13" ht="14.4" x14ac:dyDescent="0.3">
      <c r="A296" s="189" t="str">
        <f ca="1">IFERROR(__xludf.DUMMYFUNCTION("""COMPUTED_VALUE"""),"CSC")</f>
        <v>CSC</v>
      </c>
      <c r="B296" s="195" t="str">
        <f ca="1">IFERROR(__xludf.DUMMYFUNCTION("""COMPUTED_VALUE"""),"Kiptyn Trieu")</f>
        <v>Kiptyn Trieu</v>
      </c>
      <c r="C296" s="189">
        <f ca="1">IFERROR(__xludf.DUMMYFUNCTION("""COMPUTED_VALUE"""),14)</f>
        <v>14</v>
      </c>
      <c r="D296" s="189" t="str">
        <f ca="1">IFERROR(__xludf.DUMMYFUNCTION("""COMPUTED_VALUE"""),"B")</f>
        <v>B</v>
      </c>
      <c r="E296" s="189" t="str">
        <f ca="1">IFERROR(__xludf.DUMMYFUNCTION("""COMPUTED_VALUE"""),"I")</f>
        <v>I</v>
      </c>
      <c r="F296" s="189" t="str">
        <f ca="1">IFERROR(__xludf.DUMMYFUNCTION("""COMPUTED_VALUE"""),"S")</f>
        <v>S</v>
      </c>
      <c r="G296" s="189">
        <f ca="1">IFERROR(__xludf.DUMMYFUNCTION("""COMPUTED_VALUE"""),7)</f>
        <v>7</v>
      </c>
      <c r="H296" s="196" t="s">
        <v>152</v>
      </c>
      <c r="I296" s="196"/>
      <c r="J296" s="196" t="s">
        <v>29</v>
      </c>
      <c r="K296" s="196"/>
      <c r="L296" s="196" t="str">
        <v xml:space="preserve"> 112.05</v>
      </c>
      <c r="M296" s="196"/>
    </row>
    <row r="297" spans="1:13" ht="14.4" x14ac:dyDescent="0.3">
      <c r="A297" s="189" t="str">
        <f ca="1">IFERROR(__xludf.DUMMYFUNCTION("""COMPUTED_VALUE"""),"CSC")</f>
        <v>CSC</v>
      </c>
      <c r="B297" s="195" t="str">
        <f ca="1">IFERROR(__xludf.DUMMYFUNCTION("""COMPUTED_VALUE"""),"Sheppard Turk")</f>
        <v>Sheppard Turk</v>
      </c>
      <c r="C297" s="189">
        <f ca="1">IFERROR(__xludf.DUMMYFUNCTION("""COMPUTED_VALUE"""),14)</f>
        <v>14</v>
      </c>
      <c r="D297" s="189" t="str">
        <f ca="1">IFERROR(__xludf.DUMMYFUNCTION("""COMPUTED_VALUE"""),"B")</f>
        <v>B</v>
      </c>
      <c r="E297" s="189" t="str">
        <f ca="1">IFERROR(__xludf.DUMMYFUNCTION("""COMPUTED_VALUE"""),"I")</f>
        <v>I</v>
      </c>
      <c r="F297" s="189" t="str">
        <f ca="1">IFERROR(__xludf.DUMMYFUNCTION("""COMPUTED_VALUE"""),"S")</f>
        <v>S</v>
      </c>
      <c r="G297" s="189">
        <f ca="1">IFERROR(__xludf.DUMMYFUNCTION("""COMPUTED_VALUE"""),7)</f>
        <v>7</v>
      </c>
      <c r="H297" s="196" t="s">
        <v>153</v>
      </c>
      <c r="I297" s="196"/>
      <c r="J297" s="196" t="s">
        <v>64</v>
      </c>
      <c r="K297" s="196"/>
      <c r="L297" s="196" t="str">
        <v xml:space="preserve"> -136.05</v>
      </c>
      <c r="M297" s="196"/>
    </row>
    <row r="298" spans="1:13" ht="14.4" x14ac:dyDescent="0.3">
      <c r="A298" s="189" t="str">
        <f ca="1">IFERROR(__xludf.DUMMYFUNCTION("""COMPUTED_VALUE"""),"CSC")</f>
        <v>CSC</v>
      </c>
      <c r="B298" s="195" t="str">
        <f ca="1">IFERROR(__xludf.DUMMYFUNCTION("""COMPUTED_VALUE"""),"Abigail Webster")</f>
        <v>Abigail Webster</v>
      </c>
      <c r="C298" s="189">
        <f ca="1">IFERROR(__xludf.DUMMYFUNCTION("""COMPUTED_VALUE"""),12)</f>
        <v>12</v>
      </c>
      <c r="D298" s="189" t="str">
        <f ca="1">IFERROR(__xludf.DUMMYFUNCTION("""COMPUTED_VALUE"""),"G")</f>
        <v>G</v>
      </c>
      <c r="E298" s="189" t="str">
        <f ca="1">IFERROR(__xludf.DUMMYFUNCTION("""COMPUTED_VALUE"""),"J")</f>
        <v>J</v>
      </c>
      <c r="F298" s="189" t="str">
        <f ca="1">IFERROR(__xludf.DUMMYFUNCTION("""COMPUTED_VALUE"""),"I")</f>
        <v>I</v>
      </c>
      <c r="G298" s="189">
        <f ca="1">IFERROR(__xludf.DUMMYFUNCTION("""COMPUTED_VALUE"""),7)</f>
        <v>7</v>
      </c>
      <c r="H298" s="196" t="s">
        <v>154</v>
      </c>
      <c r="I298" s="196"/>
      <c r="J298" s="196" t="s">
        <v>29</v>
      </c>
      <c r="K298" s="196"/>
      <c r="L298" s="196" t="str">
        <v xml:space="preserve"> 87.95</v>
      </c>
      <c r="M298" s="196"/>
    </row>
    <row r="299" spans="1:13" ht="14.4" x14ac:dyDescent="0.3">
      <c r="A299" s="189" t="str">
        <f ca="1">IFERROR(__xludf.DUMMYFUNCTION("""COMPUTED_VALUE"""),"CSC")</f>
        <v>CSC</v>
      </c>
      <c r="B299" s="195" t="str">
        <f ca="1">IFERROR(__xludf.DUMMYFUNCTION("""COMPUTED_VALUE"""),"Claire Webster")</f>
        <v>Claire Webster</v>
      </c>
      <c r="C299" s="189">
        <f ca="1">IFERROR(__xludf.DUMMYFUNCTION("""COMPUTED_VALUE"""),11)</f>
        <v>11</v>
      </c>
      <c r="D299" s="189" t="str">
        <f ca="1">IFERROR(__xludf.DUMMYFUNCTION("""COMPUTED_VALUE"""),"G")</f>
        <v>G</v>
      </c>
      <c r="E299" s="189" t="str">
        <f ca="1">IFERROR(__xludf.DUMMYFUNCTION("""COMPUTED_VALUE"""),"J")</f>
        <v>J</v>
      </c>
      <c r="F299" s="189" t="str">
        <f ca="1">IFERROR(__xludf.DUMMYFUNCTION("""COMPUTED_VALUE"""),"I")</f>
        <v>I</v>
      </c>
      <c r="G299" s="189">
        <f ca="1">IFERROR(__xludf.DUMMYFUNCTION("""COMPUTED_VALUE"""),7)</f>
        <v>7</v>
      </c>
      <c r="H299" s="196" t="s">
        <v>155</v>
      </c>
      <c r="I299" s="196"/>
      <c r="J299" s="196" t="s">
        <v>29</v>
      </c>
      <c r="K299" s="196"/>
      <c r="L299" s="196" t="str">
        <v xml:space="preserve"> 84.35</v>
      </c>
      <c r="M299" s="196"/>
    </row>
    <row r="300" spans="1:13" ht="14.4" x14ac:dyDescent="0.3">
      <c r="A300" s="189" t="str">
        <f ca="1">IFERROR(__xludf.DUMMYFUNCTION("""COMPUTED_VALUE"""),"CSC")</f>
        <v>CSC</v>
      </c>
      <c r="B300" s="195" t="str">
        <f ca="1">IFERROR(__xludf.DUMMYFUNCTION("""COMPUTED_VALUE"""),"Elle Berry")</f>
        <v>Elle Berry</v>
      </c>
      <c r="C300" s="189">
        <f ca="1">IFERROR(__xludf.DUMMYFUNCTION("""COMPUTED_VALUE"""),11)</f>
        <v>11</v>
      </c>
      <c r="D300" s="189" t="str">
        <f ca="1">IFERROR(__xludf.DUMMYFUNCTION("""COMPUTED_VALUE"""),"G")</f>
        <v>G</v>
      </c>
      <c r="E300" s="189" t="str">
        <f ca="1">IFERROR(__xludf.DUMMYFUNCTION("""COMPUTED_VALUE"""),"J")</f>
        <v>J</v>
      </c>
      <c r="F300" s="189" t="str">
        <f ca="1">IFERROR(__xludf.DUMMYFUNCTION("""COMPUTED_VALUE"""),"I")</f>
        <v>I</v>
      </c>
      <c r="G300" s="189">
        <f ca="1">IFERROR(__xludf.DUMMYFUNCTION("""COMPUTED_VALUE"""),7)</f>
        <v>7</v>
      </c>
      <c r="H300" s="196"/>
      <c r="I300" s="196"/>
      <c r="J300" s="196"/>
      <c r="K300" s="196"/>
      <c r="L300" s="196" t="str">
        <v/>
      </c>
      <c r="M300" s="196"/>
    </row>
    <row r="301" spans="1:13" ht="14.4" x14ac:dyDescent="0.3">
      <c r="A301" s="189" t="str">
        <f ca="1">IFERROR(__xludf.DUMMYFUNCTION("""COMPUTED_VALUE"""),"CSC")</f>
        <v>CSC</v>
      </c>
      <c r="B301" s="195" t="str">
        <f ca="1">IFERROR(__xludf.DUMMYFUNCTION("""COMPUTED_VALUE"""),"Emma Magness")</f>
        <v>Emma Magness</v>
      </c>
      <c r="C301" s="189">
        <f ca="1">IFERROR(__xludf.DUMMYFUNCTION("""COMPUTED_VALUE"""),11)</f>
        <v>11</v>
      </c>
      <c r="D301" s="189" t="str">
        <f ca="1">IFERROR(__xludf.DUMMYFUNCTION("""COMPUTED_VALUE"""),"G")</f>
        <v>G</v>
      </c>
      <c r="E301" s="189" t="str">
        <f ca="1">IFERROR(__xludf.DUMMYFUNCTION("""COMPUTED_VALUE"""),"J")</f>
        <v>J</v>
      </c>
      <c r="F301" s="189" t="str">
        <f ca="1">IFERROR(__xludf.DUMMYFUNCTION("""COMPUTED_VALUE"""),"I")</f>
        <v>I</v>
      </c>
      <c r="G301" s="189">
        <f ca="1">IFERROR(__xludf.DUMMYFUNCTION("""COMPUTED_VALUE"""),7)</f>
        <v>7</v>
      </c>
      <c r="H301" s="196" t="s">
        <v>156</v>
      </c>
      <c r="I301" s="196"/>
      <c r="J301" s="196" t="s">
        <v>29</v>
      </c>
      <c r="K301" s="196"/>
      <c r="L301" s="196" t="str">
        <v xml:space="preserve"> 95.10</v>
      </c>
      <c r="M301" s="196"/>
    </row>
    <row r="302" spans="1:13" ht="14.4" x14ac:dyDescent="0.3">
      <c r="A302" s="189" t="str">
        <f ca="1">IFERROR(__xludf.DUMMYFUNCTION("""COMPUTED_VALUE"""),"CSC")</f>
        <v>CSC</v>
      </c>
      <c r="B302" s="195" t="str">
        <f ca="1">IFERROR(__xludf.DUMMYFUNCTION("""COMPUTED_VALUE"""),"Marissa Rubin")</f>
        <v>Marissa Rubin</v>
      </c>
      <c r="C302" s="189">
        <f ca="1">IFERROR(__xludf.DUMMYFUNCTION("""COMPUTED_VALUE"""),12)</f>
        <v>12</v>
      </c>
      <c r="D302" s="189" t="str">
        <f ca="1">IFERROR(__xludf.DUMMYFUNCTION("""COMPUTED_VALUE"""),"G")</f>
        <v>G</v>
      </c>
      <c r="E302" s="189" t="str">
        <f ca="1">IFERROR(__xludf.DUMMYFUNCTION("""COMPUTED_VALUE"""),"J")</f>
        <v>J</v>
      </c>
      <c r="F302" s="189" t="str">
        <f ca="1">IFERROR(__xludf.DUMMYFUNCTION("""COMPUTED_VALUE"""),"I")</f>
        <v>I</v>
      </c>
      <c r="G302" s="189">
        <f ca="1">IFERROR(__xludf.DUMMYFUNCTION("""COMPUTED_VALUE"""),7)</f>
        <v>7</v>
      </c>
      <c r="H302" s="196"/>
      <c r="I302" s="196"/>
      <c r="J302" s="196"/>
      <c r="K302" s="196"/>
      <c r="L302" s="196" t="str">
        <v/>
      </c>
      <c r="M302" s="196"/>
    </row>
    <row r="303" spans="1:13" ht="14.4" x14ac:dyDescent="0.3">
      <c r="A303" s="189" t="str">
        <f ca="1">IFERROR(__xludf.DUMMYFUNCTION("""COMPUTED_VALUE"""),"CSC")</f>
        <v>CSC</v>
      </c>
      <c r="B303" s="195" t="str">
        <f ca="1">IFERROR(__xludf.DUMMYFUNCTION("""COMPUTED_VALUE"""),"Renata Sondoval")</f>
        <v>Renata Sondoval</v>
      </c>
      <c r="C303" s="189">
        <f ca="1">IFERROR(__xludf.DUMMYFUNCTION("""COMPUTED_VALUE"""),12)</f>
        <v>12</v>
      </c>
      <c r="D303" s="189" t="str">
        <f ca="1">IFERROR(__xludf.DUMMYFUNCTION("""COMPUTED_VALUE"""),"G")</f>
        <v>G</v>
      </c>
      <c r="E303" s="189" t="str">
        <f ca="1">IFERROR(__xludf.DUMMYFUNCTION("""COMPUTED_VALUE"""),"J")</f>
        <v>J</v>
      </c>
      <c r="F303" s="189" t="str">
        <f ca="1">IFERROR(__xludf.DUMMYFUNCTION("""COMPUTED_VALUE"""),"I")</f>
        <v>I</v>
      </c>
      <c r="G303" s="189">
        <f ca="1">IFERROR(__xludf.DUMMYFUNCTION("""COMPUTED_VALUE"""),7)</f>
        <v>7</v>
      </c>
      <c r="H303" s="196"/>
      <c r="I303" s="196"/>
      <c r="J303" s="196"/>
      <c r="K303" s="196"/>
      <c r="L303" s="196" t="str">
        <v/>
      </c>
      <c r="M303" s="196"/>
    </row>
    <row r="304" spans="1:13" ht="14.4" x14ac:dyDescent="0.3">
      <c r="A304" s="189" t="str">
        <f ca="1">IFERROR(__xludf.DUMMYFUNCTION("""COMPUTED_VALUE"""),"CSC")</f>
        <v>CSC</v>
      </c>
      <c r="B304" s="195" t="str">
        <f ca="1">IFERROR(__xludf.DUMMYFUNCTION("""COMPUTED_VALUE"""),"Zeina Salameh")</f>
        <v>Zeina Salameh</v>
      </c>
      <c r="C304" s="189">
        <f ca="1">IFERROR(__xludf.DUMMYFUNCTION("""COMPUTED_VALUE"""),11)</f>
        <v>11</v>
      </c>
      <c r="D304" s="189" t="str">
        <f ca="1">IFERROR(__xludf.DUMMYFUNCTION("""COMPUTED_VALUE"""),"G")</f>
        <v>G</v>
      </c>
      <c r="E304" s="189" t="str">
        <f ca="1">IFERROR(__xludf.DUMMYFUNCTION("""COMPUTED_VALUE"""),"J")</f>
        <v>J</v>
      </c>
      <c r="F304" s="189" t="str">
        <f ca="1">IFERROR(__xludf.DUMMYFUNCTION("""COMPUTED_VALUE"""),"I")</f>
        <v>I</v>
      </c>
      <c r="G304" s="189">
        <f ca="1">IFERROR(__xludf.DUMMYFUNCTION("""COMPUTED_VALUE"""),7)</f>
        <v>7</v>
      </c>
      <c r="H304" s="196"/>
      <c r="I304" s="196"/>
      <c r="J304" s="196"/>
      <c r="K304" s="196"/>
      <c r="L304" s="196" t="str">
        <v/>
      </c>
      <c r="M304" s="196"/>
    </row>
    <row r="305" spans="1:13" ht="14.4" x14ac:dyDescent="0.3">
      <c r="A305" s="189" t="str">
        <f ca="1">IFERROR(__xludf.DUMMYFUNCTION("""COMPUTED_VALUE"""),"CSC")</f>
        <v>CSC</v>
      </c>
      <c r="B305" s="195" t="str">
        <f ca="1">IFERROR(__xludf.DUMMYFUNCTION("""COMPUTED_VALUE"""),"Booth Mitchell")</f>
        <v>Booth Mitchell</v>
      </c>
      <c r="C305" s="189">
        <f ca="1">IFERROR(__xludf.DUMMYFUNCTION("""COMPUTED_VALUE"""),11)</f>
        <v>11</v>
      </c>
      <c r="D305" s="189" t="str">
        <f ca="1">IFERROR(__xludf.DUMMYFUNCTION("""COMPUTED_VALUE"""),"B")</f>
        <v>B</v>
      </c>
      <c r="E305" s="189" t="str">
        <f ca="1">IFERROR(__xludf.DUMMYFUNCTION("""COMPUTED_VALUE"""),"J")</f>
        <v>J</v>
      </c>
      <c r="F305" s="189" t="str">
        <f ca="1">IFERROR(__xludf.DUMMYFUNCTION("""COMPUTED_VALUE"""),"I")</f>
        <v>I</v>
      </c>
      <c r="G305" s="189">
        <f ca="1">IFERROR(__xludf.DUMMYFUNCTION("""COMPUTED_VALUE"""),7)</f>
        <v>7</v>
      </c>
      <c r="H305" s="196" t="s">
        <v>157</v>
      </c>
      <c r="I305" s="196"/>
      <c r="J305" s="196" t="s">
        <v>29</v>
      </c>
      <c r="K305" s="196"/>
      <c r="L305" s="196" t="str">
        <v xml:space="preserve"> 71.75</v>
      </c>
      <c r="M305" s="196"/>
    </row>
    <row r="306" spans="1:13" ht="14.4" x14ac:dyDescent="0.3">
      <c r="A306" s="189" t="str">
        <f ca="1">IFERROR(__xludf.DUMMYFUNCTION("""COMPUTED_VALUE"""),"CSC")</f>
        <v>CSC</v>
      </c>
      <c r="B306" s="195" t="str">
        <f ca="1">IFERROR(__xludf.DUMMYFUNCTION("""COMPUTED_VALUE"""),"Graham Benson")</f>
        <v>Graham Benson</v>
      </c>
      <c r="C306" s="189">
        <f ca="1">IFERROR(__xludf.DUMMYFUNCTION("""COMPUTED_VALUE"""),11)</f>
        <v>11</v>
      </c>
      <c r="D306" s="189" t="str">
        <f ca="1">IFERROR(__xludf.DUMMYFUNCTION("""COMPUTED_VALUE"""),"B")</f>
        <v>B</v>
      </c>
      <c r="E306" s="189" t="str">
        <f ca="1">IFERROR(__xludf.DUMMYFUNCTION("""COMPUTED_VALUE"""),"J")</f>
        <v>J</v>
      </c>
      <c r="F306" s="189" t="str">
        <f ca="1">IFERROR(__xludf.DUMMYFUNCTION("""COMPUTED_VALUE"""),"I")</f>
        <v>I</v>
      </c>
      <c r="G306" s="189">
        <f ca="1">IFERROR(__xludf.DUMMYFUNCTION("""COMPUTED_VALUE"""),7)</f>
        <v>7</v>
      </c>
      <c r="H306" s="196" t="s">
        <v>158</v>
      </c>
      <c r="I306" s="196"/>
      <c r="J306" s="196" t="s">
        <v>29</v>
      </c>
      <c r="K306" s="196"/>
      <c r="L306" s="196" t="str">
        <v xml:space="preserve"> 99.80</v>
      </c>
      <c r="M306" s="196"/>
    </row>
    <row r="307" spans="1:13" ht="14.4" x14ac:dyDescent="0.3">
      <c r="A307" s="189" t="str">
        <f ca="1">IFERROR(__xludf.DUMMYFUNCTION("""COMPUTED_VALUE"""),"CSC")</f>
        <v>CSC</v>
      </c>
      <c r="B307" s="195" t="str">
        <f ca="1">IFERROR(__xludf.DUMMYFUNCTION("""COMPUTED_VALUE"""),"Lucas Nguyen")</f>
        <v>Lucas Nguyen</v>
      </c>
      <c r="C307" s="189">
        <f ca="1">IFERROR(__xludf.DUMMYFUNCTION("""COMPUTED_VALUE"""),12)</f>
        <v>12</v>
      </c>
      <c r="D307" s="189" t="str">
        <f ca="1">IFERROR(__xludf.DUMMYFUNCTION("""COMPUTED_VALUE"""),"B")</f>
        <v>B</v>
      </c>
      <c r="E307" s="189" t="str">
        <f ca="1">IFERROR(__xludf.DUMMYFUNCTION("""COMPUTED_VALUE"""),"J")</f>
        <v>J</v>
      </c>
      <c r="F307" s="189" t="str">
        <f ca="1">IFERROR(__xludf.DUMMYFUNCTION("""COMPUTED_VALUE"""),"I")</f>
        <v>I</v>
      </c>
      <c r="G307" s="189">
        <f ca="1">IFERROR(__xludf.DUMMYFUNCTION("""COMPUTED_VALUE"""),7)</f>
        <v>7</v>
      </c>
      <c r="H307" s="196"/>
      <c r="I307" s="196"/>
      <c r="J307" s="196"/>
      <c r="K307" s="196"/>
      <c r="L307" s="196" t="str">
        <v/>
      </c>
      <c r="M307" s="196"/>
    </row>
    <row r="308" spans="1:13" ht="14.4" x14ac:dyDescent="0.3">
      <c r="A308" s="189" t="str">
        <f ca="1">IFERROR(__xludf.DUMMYFUNCTION("""COMPUTED_VALUE"""),"CSC")</f>
        <v>CSC</v>
      </c>
      <c r="B308" s="195" t="str">
        <f ca="1">IFERROR(__xludf.DUMMYFUNCTION("""COMPUTED_VALUE"""),"Nicholas Jemkins")</f>
        <v>Nicholas Jemkins</v>
      </c>
      <c r="C308" s="189">
        <f ca="1">IFERROR(__xludf.DUMMYFUNCTION("""COMPUTED_VALUE"""),12)</f>
        <v>12</v>
      </c>
      <c r="D308" s="189" t="str">
        <f ca="1">IFERROR(__xludf.DUMMYFUNCTION("""COMPUTED_VALUE"""),"B")</f>
        <v>B</v>
      </c>
      <c r="E308" s="189" t="str">
        <f ca="1">IFERROR(__xludf.DUMMYFUNCTION("""COMPUTED_VALUE"""),"J")</f>
        <v>J</v>
      </c>
      <c r="F308" s="189" t="str">
        <f ca="1">IFERROR(__xludf.DUMMYFUNCTION("""COMPUTED_VALUE"""),"I")</f>
        <v>I</v>
      </c>
      <c r="G308" s="189">
        <f ca="1">IFERROR(__xludf.DUMMYFUNCTION("""COMPUTED_VALUE"""),7)</f>
        <v>7</v>
      </c>
      <c r="H308" s="196" t="s">
        <v>159</v>
      </c>
      <c r="I308" s="196"/>
      <c r="J308" s="196" t="s">
        <v>29</v>
      </c>
      <c r="K308" s="196"/>
      <c r="L308" s="196" t="str">
        <v xml:space="preserve"> 70.05</v>
      </c>
      <c r="M308" s="196"/>
    </row>
    <row r="309" spans="1:13" ht="14.4" x14ac:dyDescent="0.3">
      <c r="A309" s="189" t="str">
        <f ca="1">IFERROR(__xludf.DUMMYFUNCTION("""COMPUTED_VALUE"""),"CSC")</f>
        <v>CSC</v>
      </c>
      <c r="B309" s="195" t="str">
        <f ca="1">IFERROR(__xludf.DUMMYFUNCTION("""COMPUTED_VALUE"""),"Haley Trieu")</f>
        <v>Haley Trieu</v>
      </c>
      <c r="C309" s="189">
        <f ca="1">IFERROR(__xludf.DUMMYFUNCTION("""COMPUTED_VALUE"""),16)</f>
        <v>16</v>
      </c>
      <c r="D309" s="189" t="str">
        <f ca="1">IFERROR(__xludf.DUMMYFUNCTION("""COMPUTED_VALUE"""),"G")</f>
        <v>G</v>
      </c>
      <c r="E309" s="189" t="str">
        <f ca="1">IFERROR(__xludf.DUMMYFUNCTION("""COMPUTED_VALUE"""),"S")</f>
        <v>S</v>
      </c>
      <c r="F309" s="189" t="str">
        <f ca="1">IFERROR(__xludf.DUMMYFUNCTION("""COMPUTED_VALUE"""),"S")</f>
        <v>S</v>
      </c>
      <c r="G309" s="189">
        <f ca="1">IFERROR(__xludf.DUMMYFUNCTION("""COMPUTED_VALUE"""),7)</f>
        <v>7</v>
      </c>
      <c r="H309" s="196"/>
      <c r="I309" s="196"/>
      <c r="J309" s="196"/>
      <c r="K309" s="196"/>
      <c r="L309" s="196" t="str">
        <v/>
      </c>
      <c r="M309" s="196"/>
    </row>
    <row r="310" spans="1:13" ht="14.4" x14ac:dyDescent="0.3">
      <c r="A310" s="189" t="str">
        <f ca="1">IFERROR(__xludf.DUMMYFUNCTION("""COMPUTED_VALUE"""),"CSC")</f>
        <v>CSC</v>
      </c>
      <c r="B310" s="195" t="str">
        <f ca="1">IFERROR(__xludf.DUMMYFUNCTION("""COMPUTED_VALUE"""),"Isaiah Lora-Pena")</f>
        <v>Isaiah Lora-Pena</v>
      </c>
      <c r="C310" s="189">
        <f ca="1">IFERROR(__xludf.DUMMYFUNCTION("""COMPUTED_VALUE"""),15)</f>
        <v>15</v>
      </c>
      <c r="D310" s="189" t="str">
        <f ca="1">IFERROR(__xludf.DUMMYFUNCTION("""COMPUTED_VALUE"""),"B")</f>
        <v>B</v>
      </c>
      <c r="E310" s="189" t="str">
        <f ca="1">IFERROR(__xludf.DUMMYFUNCTION("""COMPUTED_VALUE"""),"S")</f>
        <v>S</v>
      </c>
      <c r="F310" s="189" t="str">
        <f ca="1">IFERROR(__xludf.DUMMYFUNCTION("""COMPUTED_VALUE"""),"S")</f>
        <v>S</v>
      </c>
      <c r="G310" s="189">
        <f ca="1">IFERROR(__xludf.DUMMYFUNCTION("""COMPUTED_VALUE"""),7)</f>
        <v>7</v>
      </c>
      <c r="H310" s="196" t="s">
        <v>160</v>
      </c>
      <c r="I310" s="196"/>
      <c r="J310" s="196" t="s">
        <v>29</v>
      </c>
      <c r="K310" s="196"/>
      <c r="L310" s="196" t="str">
        <v xml:space="preserve"> 115.60</v>
      </c>
      <c r="M310" s="196"/>
    </row>
    <row r="311" spans="1:13" ht="14.4" x14ac:dyDescent="0.3">
      <c r="A311" s="189" t="str">
        <f ca="1">IFERROR(__xludf.DUMMYFUNCTION("""COMPUTED_VALUE"""),"DH")</f>
        <v>DH</v>
      </c>
      <c r="B311" s="195" t="str">
        <f ca="1">IFERROR(__xludf.DUMMYFUNCTION("""COMPUTED_VALUE"""),"Abby Panko")</f>
        <v>Abby Panko</v>
      </c>
      <c r="C311" s="189">
        <f ca="1">IFERROR(__xludf.DUMMYFUNCTION("""COMPUTED_VALUE"""),9)</f>
        <v>9</v>
      </c>
      <c r="D311" s="189" t="str">
        <f ca="1">IFERROR(__xludf.DUMMYFUNCTION("""COMPUTED_VALUE"""),"G")</f>
        <v>G</v>
      </c>
      <c r="E311" s="189" t="str">
        <f ca="1">IFERROR(__xludf.DUMMYFUNCTION("""COMPUTED_VALUE"""),"F")</f>
        <v>F</v>
      </c>
      <c r="F311" s="189" t="str">
        <f ca="1">IFERROR(__xludf.DUMMYFUNCTION("""COMPUTED_VALUE"""),"J")</f>
        <v>J</v>
      </c>
      <c r="G311" s="189">
        <f ca="1">IFERROR(__xludf.DUMMYFUNCTION("""COMPUTED_VALUE"""),2)</f>
        <v>2</v>
      </c>
      <c r="H311" s="196"/>
      <c r="I311" s="196"/>
      <c r="J311" s="196"/>
      <c r="K311" s="196"/>
      <c r="L311" s="196" t="str">
        <v/>
      </c>
      <c r="M311" s="196"/>
    </row>
    <row r="312" spans="1:13" ht="14.4" x14ac:dyDescent="0.3">
      <c r="A312" s="189" t="str">
        <f ca="1">IFERROR(__xludf.DUMMYFUNCTION("""COMPUTED_VALUE"""),"DH")</f>
        <v>DH</v>
      </c>
      <c r="B312" s="195" t="str">
        <f ca="1">IFERROR(__xludf.DUMMYFUNCTION("""COMPUTED_VALUE"""),"Caroline Reilly")</f>
        <v>Caroline Reilly</v>
      </c>
      <c r="C312" s="189">
        <f ca="1">IFERROR(__xludf.DUMMYFUNCTION("""COMPUTED_VALUE"""),10)</f>
        <v>10</v>
      </c>
      <c r="D312" s="189" t="str">
        <f ca="1">IFERROR(__xludf.DUMMYFUNCTION("""COMPUTED_VALUE"""),"G")</f>
        <v>G</v>
      </c>
      <c r="E312" s="189" t="str">
        <f ca="1">IFERROR(__xludf.DUMMYFUNCTION("""COMPUTED_VALUE"""),"F")</f>
        <v>F</v>
      </c>
      <c r="F312" s="189" t="str">
        <f ca="1">IFERROR(__xludf.DUMMYFUNCTION("""COMPUTED_VALUE"""),"J")</f>
        <v>J</v>
      </c>
      <c r="G312" s="189">
        <f ca="1">IFERROR(__xludf.DUMMYFUNCTION("""COMPUTED_VALUE"""),2)</f>
        <v>2</v>
      </c>
      <c r="H312" s="196" t="s">
        <v>161</v>
      </c>
      <c r="I312" s="196"/>
      <c r="J312" s="196" t="s">
        <v>29</v>
      </c>
      <c r="K312" s="196"/>
      <c r="L312" s="196" t="str">
        <v xml:space="preserve"> 40.70</v>
      </c>
      <c r="M312" s="196"/>
    </row>
    <row r="313" spans="1:13" ht="14.4" x14ac:dyDescent="0.3">
      <c r="A313" s="189" t="str">
        <f ca="1">IFERROR(__xludf.DUMMYFUNCTION("""COMPUTED_VALUE"""),"DH")</f>
        <v>DH</v>
      </c>
      <c r="B313" s="195" t="str">
        <f ca="1">IFERROR(__xludf.DUMMYFUNCTION("""COMPUTED_VALUE"""),"Ella Aldonas")</f>
        <v>Ella Aldonas</v>
      </c>
      <c r="C313" s="189">
        <f ca="1">IFERROR(__xludf.DUMMYFUNCTION("""COMPUTED_VALUE"""),5)</f>
        <v>5</v>
      </c>
      <c r="D313" s="189" t="str">
        <f ca="1">IFERROR(__xludf.DUMMYFUNCTION("""COMPUTED_VALUE"""),"G")</f>
        <v>G</v>
      </c>
      <c r="E313" s="189" t="str">
        <f ca="1">IFERROR(__xludf.DUMMYFUNCTION("""COMPUTED_VALUE"""),"F")</f>
        <v>F</v>
      </c>
      <c r="F313" s="189" t="str">
        <f ca="1">IFERROR(__xludf.DUMMYFUNCTION("""COMPUTED_VALUE"""),"J")</f>
        <v>J</v>
      </c>
      <c r="G313" s="189">
        <f ca="1">IFERROR(__xludf.DUMMYFUNCTION("""COMPUTED_VALUE"""),2)</f>
        <v>2</v>
      </c>
      <c r="H313" s="196"/>
      <c r="I313" s="196"/>
      <c r="J313" s="196"/>
      <c r="K313" s="196"/>
      <c r="L313" s="196" t="str">
        <v/>
      </c>
      <c r="M313" s="196"/>
    </row>
    <row r="314" spans="1:13" ht="14.4" x14ac:dyDescent="0.3">
      <c r="A314" s="189" t="str">
        <f ca="1">IFERROR(__xludf.DUMMYFUNCTION("""COMPUTED_VALUE"""),"DH")</f>
        <v>DH</v>
      </c>
      <c r="B314" s="195" t="str">
        <f ca="1">IFERROR(__xludf.DUMMYFUNCTION("""COMPUTED_VALUE"""),"Emma Perkins")</f>
        <v>Emma Perkins</v>
      </c>
      <c r="C314" s="189">
        <f ca="1">IFERROR(__xludf.DUMMYFUNCTION("""COMPUTED_VALUE"""),10)</f>
        <v>10</v>
      </c>
      <c r="D314" s="189" t="str">
        <f ca="1">IFERROR(__xludf.DUMMYFUNCTION("""COMPUTED_VALUE"""),"G")</f>
        <v>G</v>
      </c>
      <c r="E314" s="189" t="str">
        <f ca="1">IFERROR(__xludf.DUMMYFUNCTION("""COMPUTED_VALUE"""),"F")</f>
        <v>F</v>
      </c>
      <c r="F314" s="189" t="str">
        <f ca="1">IFERROR(__xludf.DUMMYFUNCTION("""COMPUTED_VALUE"""),"J")</f>
        <v>J</v>
      </c>
      <c r="G314" s="189">
        <f ca="1">IFERROR(__xludf.DUMMYFUNCTION("""COMPUTED_VALUE"""),2)</f>
        <v>2</v>
      </c>
      <c r="H314" s="196" t="s">
        <v>140</v>
      </c>
      <c r="I314" s="196"/>
      <c r="J314" s="196" t="s">
        <v>29</v>
      </c>
      <c r="K314" s="196"/>
      <c r="L314" s="196" t="str">
        <v xml:space="preserve"> 53.00</v>
      </c>
      <c r="M314" s="196"/>
    </row>
    <row r="315" spans="1:13" ht="14.4" x14ac:dyDescent="0.3">
      <c r="A315" s="189" t="str">
        <f ca="1">IFERROR(__xludf.DUMMYFUNCTION("""COMPUTED_VALUE"""),"DH")</f>
        <v>DH</v>
      </c>
      <c r="B315" s="195" t="str">
        <f ca="1">IFERROR(__xludf.DUMMYFUNCTION("""COMPUTED_VALUE"""),"Emma Richard")</f>
        <v>Emma Richard</v>
      </c>
      <c r="C315" s="189">
        <f ca="1">IFERROR(__xludf.DUMMYFUNCTION("""COMPUTED_VALUE"""),8)</f>
        <v>8</v>
      </c>
      <c r="D315" s="189" t="str">
        <f ca="1">IFERROR(__xludf.DUMMYFUNCTION("""COMPUTED_VALUE"""),"G")</f>
        <v>G</v>
      </c>
      <c r="E315" s="189" t="str">
        <f ca="1">IFERROR(__xludf.DUMMYFUNCTION("""COMPUTED_VALUE"""),"F")</f>
        <v>F</v>
      </c>
      <c r="F315" s="189" t="str">
        <f ca="1">IFERROR(__xludf.DUMMYFUNCTION("""COMPUTED_VALUE"""),"J")</f>
        <v>J</v>
      </c>
      <c r="G315" s="189">
        <f ca="1">IFERROR(__xludf.DUMMYFUNCTION("""COMPUTED_VALUE"""),2)</f>
        <v>2</v>
      </c>
      <c r="H315" s="196" t="s">
        <v>162</v>
      </c>
      <c r="I315" s="196"/>
      <c r="J315" s="196" t="s">
        <v>29</v>
      </c>
      <c r="K315" s="196"/>
      <c r="L315" s="196" t="str">
        <v xml:space="preserve"> 44.45</v>
      </c>
      <c r="M315" s="196"/>
    </row>
    <row r="316" spans="1:13" ht="14.4" x14ac:dyDescent="0.3">
      <c r="A316" s="189" t="str">
        <f ca="1">IFERROR(__xludf.DUMMYFUNCTION("""COMPUTED_VALUE"""),"DH")</f>
        <v>DH</v>
      </c>
      <c r="B316" s="195" t="str">
        <f ca="1">IFERROR(__xludf.DUMMYFUNCTION("""COMPUTED_VALUE"""),"Fiona Gibson")</f>
        <v>Fiona Gibson</v>
      </c>
      <c r="C316" s="189">
        <f ca="1">IFERROR(__xludf.DUMMYFUNCTION("""COMPUTED_VALUE"""),10)</f>
        <v>10</v>
      </c>
      <c r="D316" s="189" t="str">
        <f ca="1">IFERROR(__xludf.DUMMYFUNCTION("""COMPUTED_VALUE"""),"G")</f>
        <v>G</v>
      </c>
      <c r="E316" s="189" t="str">
        <f ca="1">IFERROR(__xludf.DUMMYFUNCTION("""COMPUTED_VALUE"""),"F")</f>
        <v>F</v>
      </c>
      <c r="F316" s="189" t="str">
        <f ca="1">IFERROR(__xludf.DUMMYFUNCTION("""COMPUTED_VALUE"""),"J")</f>
        <v>J</v>
      </c>
      <c r="G316" s="189">
        <f ca="1">IFERROR(__xludf.DUMMYFUNCTION("""COMPUTED_VALUE"""),2)</f>
        <v>2</v>
      </c>
      <c r="H316" s="196"/>
      <c r="I316" s="196"/>
      <c r="J316" s="196"/>
      <c r="K316" s="196"/>
      <c r="L316" s="196" t="str">
        <v/>
      </c>
      <c r="M316" s="196"/>
    </row>
    <row r="317" spans="1:13" ht="14.4" x14ac:dyDescent="0.3">
      <c r="A317" s="189" t="str">
        <f ca="1">IFERROR(__xludf.DUMMYFUNCTION("""COMPUTED_VALUE"""),"DH")</f>
        <v>DH</v>
      </c>
      <c r="B317" s="195" t="str">
        <f ca="1">IFERROR(__xludf.DUMMYFUNCTION("""COMPUTED_VALUE"""),"Greta Goehring")</f>
        <v>Greta Goehring</v>
      </c>
      <c r="C317" s="189">
        <f ca="1">IFERROR(__xludf.DUMMYFUNCTION("""COMPUTED_VALUE"""),7)</f>
        <v>7</v>
      </c>
      <c r="D317" s="189" t="str">
        <f ca="1">IFERROR(__xludf.DUMMYFUNCTION("""COMPUTED_VALUE"""),"G")</f>
        <v>G</v>
      </c>
      <c r="E317" s="189" t="str">
        <f ca="1">IFERROR(__xludf.DUMMYFUNCTION("""COMPUTED_VALUE"""),"F")</f>
        <v>F</v>
      </c>
      <c r="F317" s="189" t="str">
        <f ca="1">IFERROR(__xludf.DUMMYFUNCTION("""COMPUTED_VALUE"""),"J")</f>
        <v>J</v>
      </c>
      <c r="G317" s="189">
        <f ca="1">IFERROR(__xludf.DUMMYFUNCTION("""COMPUTED_VALUE"""),2)</f>
        <v>2</v>
      </c>
      <c r="H317" s="196"/>
      <c r="I317" s="196"/>
      <c r="J317" s="196"/>
      <c r="K317" s="196"/>
      <c r="L317" s="196" t="str">
        <v/>
      </c>
      <c r="M317" s="196"/>
    </row>
    <row r="318" spans="1:13" ht="14.4" x14ac:dyDescent="0.3">
      <c r="A318" s="189" t="str">
        <f ca="1">IFERROR(__xludf.DUMMYFUNCTION("""COMPUTED_VALUE"""),"DH")</f>
        <v>DH</v>
      </c>
      <c r="B318" s="195" t="str">
        <f ca="1">IFERROR(__xludf.DUMMYFUNCTION("""COMPUTED_VALUE"""),"Joanna Chen")</f>
        <v>Joanna Chen</v>
      </c>
      <c r="C318" s="189">
        <f ca="1">IFERROR(__xludf.DUMMYFUNCTION("""COMPUTED_VALUE"""),6)</f>
        <v>6</v>
      </c>
      <c r="D318" s="189" t="str">
        <f ca="1">IFERROR(__xludf.DUMMYFUNCTION("""COMPUTED_VALUE"""),"G")</f>
        <v>G</v>
      </c>
      <c r="E318" s="189" t="str">
        <f ca="1">IFERROR(__xludf.DUMMYFUNCTION("""COMPUTED_VALUE"""),"F")</f>
        <v>F</v>
      </c>
      <c r="F318" s="189" t="str">
        <f ca="1">IFERROR(__xludf.DUMMYFUNCTION("""COMPUTED_VALUE"""),"J")</f>
        <v>J</v>
      </c>
      <c r="G318" s="189">
        <f ca="1">IFERROR(__xludf.DUMMYFUNCTION("""COMPUTED_VALUE"""),2)</f>
        <v>2</v>
      </c>
      <c r="H318" s="196"/>
      <c r="I318" s="196"/>
      <c r="J318" s="196"/>
      <c r="K318" s="196"/>
      <c r="L318" s="196" t="str">
        <v/>
      </c>
      <c r="M318" s="196"/>
    </row>
    <row r="319" spans="1:13" ht="14.4" x14ac:dyDescent="0.3">
      <c r="A319" s="189" t="str">
        <f ca="1">IFERROR(__xludf.DUMMYFUNCTION("""COMPUTED_VALUE"""),"DH")</f>
        <v>DH</v>
      </c>
      <c r="B319" s="195" t="str">
        <f ca="1">IFERROR(__xludf.DUMMYFUNCTION("""COMPUTED_VALUE"""),"Juliet Clinger")</f>
        <v>Juliet Clinger</v>
      </c>
      <c r="C319" s="189">
        <f ca="1">IFERROR(__xludf.DUMMYFUNCTION("""COMPUTED_VALUE"""),10)</f>
        <v>10</v>
      </c>
      <c r="D319" s="189" t="str">
        <f ca="1">IFERROR(__xludf.DUMMYFUNCTION("""COMPUTED_VALUE"""),"G")</f>
        <v>G</v>
      </c>
      <c r="E319" s="189" t="str">
        <f ca="1">IFERROR(__xludf.DUMMYFUNCTION("""COMPUTED_VALUE"""),"F")</f>
        <v>F</v>
      </c>
      <c r="F319" s="189" t="str">
        <f ca="1">IFERROR(__xludf.DUMMYFUNCTION("""COMPUTED_VALUE"""),"J")</f>
        <v>J</v>
      </c>
      <c r="G319" s="189">
        <f ca="1">IFERROR(__xludf.DUMMYFUNCTION("""COMPUTED_VALUE"""),2)</f>
        <v>2</v>
      </c>
      <c r="H319" s="196"/>
      <c r="I319" s="196"/>
      <c r="J319" s="196"/>
      <c r="K319" s="196"/>
      <c r="L319" s="196" t="str">
        <v/>
      </c>
      <c r="M319" s="196"/>
    </row>
    <row r="320" spans="1:13" ht="14.4" x14ac:dyDescent="0.3">
      <c r="A320" s="189" t="str">
        <f ca="1">IFERROR(__xludf.DUMMYFUNCTION("""COMPUTED_VALUE"""),"DH")</f>
        <v>DH</v>
      </c>
      <c r="B320" s="195" t="str">
        <f ca="1">IFERROR(__xludf.DUMMYFUNCTION("""COMPUTED_VALUE"""),"Lainey Cestaro")</f>
        <v>Lainey Cestaro</v>
      </c>
      <c r="C320" s="189">
        <f ca="1">IFERROR(__xludf.DUMMYFUNCTION("""COMPUTED_VALUE"""),10)</f>
        <v>10</v>
      </c>
      <c r="D320" s="189" t="str">
        <f ca="1">IFERROR(__xludf.DUMMYFUNCTION("""COMPUTED_VALUE"""),"G")</f>
        <v>G</v>
      </c>
      <c r="E320" s="189" t="str">
        <f ca="1">IFERROR(__xludf.DUMMYFUNCTION("""COMPUTED_VALUE"""),"F")</f>
        <v>F</v>
      </c>
      <c r="F320" s="189" t="str">
        <f ca="1">IFERROR(__xludf.DUMMYFUNCTION("""COMPUTED_VALUE"""),"J")</f>
        <v>J</v>
      </c>
      <c r="G320" s="189">
        <f ca="1">IFERROR(__xludf.DUMMYFUNCTION("""COMPUTED_VALUE"""),2)</f>
        <v>2</v>
      </c>
      <c r="H320" s="196"/>
      <c r="I320" s="196"/>
      <c r="J320" s="196"/>
      <c r="K320" s="196"/>
      <c r="L320" s="196" t="str">
        <v/>
      </c>
      <c r="M320" s="196"/>
    </row>
    <row r="321" spans="1:13" ht="14.4" x14ac:dyDescent="0.3">
      <c r="A321" s="189" t="str">
        <f ca="1">IFERROR(__xludf.DUMMYFUNCTION("""COMPUTED_VALUE"""),"DH")</f>
        <v>DH</v>
      </c>
      <c r="B321" s="195" t="str">
        <f ca="1">IFERROR(__xludf.DUMMYFUNCTION("""COMPUTED_VALUE"""),"Madison Wade")</f>
        <v>Madison Wade</v>
      </c>
      <c r="C321" s="189">
        <f ca="1">IFERROR(__xludf.DUMMYFUNCTION("""COMPUTED_VALUE"""),10)</f>
        <v>10</v>
      </c>
      <c r="D321" s="189" t="str">
        <f ca="1">IFERROR(__xludf.DUMMYFUNCTION("""COMPUTED_VALUE"""),"G")</f>
        <v>G</v>
      </c>
      <c r="E321" s="189" t="str">
        <f ca="1">IFERROR(__xludf.DUMMYFUNCTION("""COMPUTED_VALUE"""),"F")</f>
        <v>F</v>
      </c>
      <c r="F321" s="189" t="str">
        <f ca="1">IFERROR(__xludf.DUMMYFUNCTION("""COMPUTED_VALUE"""),"J")</f>
        <v>J</v>
      </c>
      <c r="G321" s="189">
        <f ca="1">IFERROR(__xludf.DUMMYFUNCTION("""COMPUTED_VALUE"""),2)</f>
        <v>2</v>
      </c>
      <c r="H321" s="196"/>
      <c r="I321" s="196"/>
      <c r="J321" s="196"/>
      <c r="K321" s="196"/>
      <c r="L321" s="196" t="str">
        <v/>
      </c>
      <c r="M321" s="196"/>
    </row>
    <row r="322" spans="1:13" ht="14.4" x14ac:dyDescent="0.3">
      <c r="A322" s="189" t="str">
        <f ca="1">IFERROR(__xludf.DUMMYFUNCTION("""COMPUTED_VALUE"""),"DH")</f>
        <v>DH</v>
      </c>
      <c r="B322" s="195" t="str">
        <f ca="1">IFERROR(__xludf.DUMMYFUNCTION("""COMPUTED_VALUE"""),"Naomi McShane")</f>
        <v>Naomi McShane</v>
      </c>
      <c r="C322" s="189">
        <f ca="1">IFERROR(__xludf.DUMMYFUNCTION("""COMPUTED_VALUE"""),9)</f>
        <v>9</v>
      </c>
      <c r="D322" s="189" t="str">
        <f ca="1">IFERROR(__xludf.DUMMYFUNCTION("""COMPUTED_VALUE"""),"G")</f>
        <v>G</v>
      </c>
      <c r="E322" s="189" t="str">
        <f ca="1">IFERROR(__xludf.DUMMYFUNCTION("""COMPUTED_VALUE"""),"F")</f>
        <v>F</v>
      </c>
      <c r="F322" s="189" t="str">
        <f ca="1">IFERROR(__xludf.DUMMYFUNCTION("""COMPUTED_VALUE"""),"J")</f>
        <v>J</v>
      </c>
      <c r="G322" s="189">
        <f ca="1">IFERROR(__xludf.DUMMYFUNCTION("""COMPUTED_VALUE"""),2)</f>
        <v>2</v>
      </c>
      <c r="H322" s="196"/>
      <c r="I322" s="196"/>
      <c r="J322" s="196"/>
      <c r="K322" s="196"/>
      <c r="L322" s="196" t="str">
        <v/>
      </c>
      <c r="M322" s="196"/>
    </row>
    <row r="323" spans="1:13" ht="14.4" x14ac:dyDescent="0.3">
      <c r="A323" s="189" t="str">
        <f ca="1">IFERROR(__xludf.DUMMYFUNCTION("""COMPUTED_VALUE"""),"DH")</f>
        <v>DH</v>
      </c>
      <c r="B323" s="195" t="str">
        <f ca="1">IFERROR(__xludf.DUMMYFUNCTION("""COMPUTED_VALUE"""),"Babi Aldonas")</f>
        <v>Babi Aldonas</v>
      </c>
      <c r="C323" s="189">
        <f ca="1">IFERROR(__xludf.DUMMYFUNCTION("""COMPUTED_VALUE"""),8)</f>
        <v>8</v>
      </c>
      <c r="D323" s="189" t="str">
        <f ca="1">IFERROR(__xludf.DUMMYFUNCTION("""COMPUTED_VALUE"""),"B")</f>
        <v>B</v>
      </c>
      <c r="E323" s="189" t="str">
        <f ca="1">IFERROR(__xludf.DUMMYFUNCTION("""COMPUTED_VALUE"""),"F")</f>
        <v>F</v>
      </c>
      <c r="F323" s="189" t="str">
        <f ca="1">IFERROR(__xludf.DUMMYFUNCTION("""COMPUTED_VALUE"""),"J")</f>
        <v>J</v>
      </c>
      <c r="G323" s="189">
        <f ca="1">IFERROR(__xludf.DUMMYFUNCTION("""COMPUTED_VALUE"""),2)</f>
        <v>2</v>
      </c>
      <c r="H323" s="196" t="s">
        <v>163</v>
      </c>
      <c r="I323" s="196"/>
      <c r="J323" s="196" t="s">
        <v>29</v>
      </c>
      <c r="K323" s="196"/>
      <c r="L323" s="196" t="str">
        <v xml:space="preserve"> 50.50</v>
      </c>
      <c r="M323" s="196"/>
    </row>
    <row r="324" spans="1:13" ht="14.4" x14ac:dyDescent="0.3">
      <c r="A324" s="189" t="str">
        <f ca="1">IFERROR(__xludf.DUMMYFUNCTION("""COMPUTED_VALUE"""),"DH")</f>
        <v>DH</v>
      </c>
      <c r="B324" s="195" t="str">
        <f ca="1">IFERROR(__xludf.DUMMYFUNCTION("""COMPUTED_VALUE"""),"Cormac Jackson")</f>
        <v>Cormac Jackson</v>
      </c>
      <c r="C324" s="189">
        <f ca="1">IFERROR(__xludf.DUMMYFUNCTION("""COMPUTED_VALUE"""),10)</f>
        <v>10</v>
      </c>
      <c r="D324" s="189" t="str">
        <f ca="1">IFERROR(__xludf.DUMMYFUNCTION("""COMPUTED_VALUE"""),"B")</f>
        <v>B</v>
      </c>
      <c r="E324" s="189" t="str">
        <f ca="1">IFERROR(__xludf.DUMMYFUNCTION("""COMPUTED_VALUE"""),"F")</f>
        <v>F</v>
      </c>
      <c r="F324" s="189" t="str">
        <f ca="1">IFERROR(__xludf.DUMMYFUNCTION("""COMPUTED_VALUE"""),"J")</f>
        <v>J</v>
      </c>
      <c r="G324" s="189">
        <f ca="1">IFERROR(__xludf.DUMMYFUNCTION("""COMPUTED_VALUE"""),2)</f>
        <v>2</v>
      </c>
      <c r="H324" s="196"/>
      <c r="I324" s="196"/>
      <c r="J324" s="196"/>
      <c r="K324" s="196"/>
      <c r="L324" s="196" t="str">
        <v/>
      </c>
      <c r="M324" s="196"/>
    </row>
    <row r="325" spans="1:13" ht="14.4" x14ac:dyDescent="0.3">
      <c r="A325" s="189" t="str">
        <f ca="1">IFERROR(__xludf.DUMMYFUNCTION("""COMPUTED_VALUE"""),"DH")</f>
        <v>DH</v>
      </c>
      <c r="B325" s="195" t="str">
        <f ca="1">IFERROR(__xludf.DUMMYFUNCTION("""COMPUTED_VALUE"""),"Declan Jackson")</f>
        <v>Declan Jackson</v>
      </c>
      <c r="C325" s="189">
        <f ca="1">IFERROR(__xludf.DUMMYFUNCTION("""COMPUTED_VALUE"""),8)</f>
        <v>8</v>
      </c>
      <c r="D325" s="189" t="str">
        <f ca="1">IFERROR(__xludf.DUMMYFUNCTION("""COMPUTED_VALUE"""),"B")</f>
        <v>B</v>
      </c>
      <c r="E325" s="189" t="str">
        <f ca="1">IFERROR(__xludf.DUMMYFUNCTION("""COMPUTED_VALUE"""),"F")</f>
        <v>F</v>
      </c>
      <c r="F325" s="189" t="str">
        <f ca="1">IFERROR(__xludf.DUMMYFUNCTION("""COMPUTED_VALUE"""),"J")</f>
        <v>J</v>
      </c>
      <c r="G325" s="189">
        <f ca="1">IFERROR(__xludf.DUMMYFUNCTION("""COMPUTED_VALUE"""),2)</f>
        <v>2</v>
      </c>
      <c r="H325" s="196"/>
      <c r="I325" s="196"/>
      <c r="J325" s="196"/>
      <c r="K325" s="196"/>
      <c r="L325" s="196" t="str">
        <v/>
      </c>
      <c r="M325" s="196"/>
    </row>
    <row r="326" spans="1:13" ht="14.4" x14ac:dyDescent="0.3">
      <c r="A326" s="189" t="str">
        <f ca="1">IFERROR(__xludf.DUMMYFUNCTION("""COMPUTED_VALUE"""),"DH")</f>
        <v>DH</v>
      </c>
      <c r="B326" s="195" t="str">
        <f ca="1">IFERROR(__xludf.DUMMYFUNCTION("""COMPUTED_VALUE"""),"Ethan Perkins")</f>
        <v>Ethan Perkins</v>
      </c>
      <c r="C326" s="189">
        <f ca="1">IFERROR(__xludf.DUMMYFUNCTION("""COMPUTED_VALUE"""),8)</f>
        <v>8</v>
      </c>
      <c r="D326" s="189" t="str">
        <f ca="1">IFERROR(__xludf.DUMMYFUNCTION("""COMPUTED_VALUE"""),"B")</f>
        <v>B</v>
      </c>
      <c r="E326" s="189" t="str">
        <f ca="1">IFERROR(__xludf.DUMMYFUNCTION("""COMPUTED_VALUE"""),"F")</f>
        <v>F</v>
      </c>
      <c r="F326" s="189" t="str">
        <f ca="1">IFERROR(__xludf.DUMMYFUNCTION("""COMPUTED_VALUE"""),"J")</f>
        <v>J</v>
      </c>
      <c r="G326" s="189">
        <f ca="1">IFERROR(__xludf.DUMMYFUNCTION("""COMPUTED_VALUE"""),2)</f>
        <v>2</v>
      </c>
      <c r="H326" s="196" t="s">
        <v>164</v>
      </c>
      <c r="I326" s="196"/>
      <c r="J326" s="196" t="s">
        <v>29</v>
      </c>
      <c r="K326" s="196"/>
      <c r="L326" s="196" t="str">
        <v xml:space="preserve"> 53.25</v>
      </c>
      <c r="M326" s="196"/>
    </row>
    <row r="327" spans="1:13" ht="14.4" x14ac:dyDescent="0.3">
      <c r="A327" s="189" t="str">
        <f ca="1">IFERROR(__xludf.DUMMYFUNCTION("""COMPUTED_VALUE"""),"DH")</f>
        <v>DH</v>
      </c>
      <c r="B327" s="195" t="str">
        <f ca="1">IFERROR(__xludf.DUMMYFUNCTION("""COMPUTED_VALUE"""),"Leonardo Hardin")</f>
        <v>Leonardo Hardin</v>
      </c>
      <c r="C327" s="189">
        <f ca="1">IFERROR(__xludf.DUMMYFUNCTION("""COMPUTED_VALUE"""),6)</f>
        <v>6</v>
      </c>
      <c r="D327" s="189" t="str">
        <f ca="1">IFERROR(__xludf.DUMMYFUNCTION("""COMPUTED_VALUE"""),"B")</f>
        <v>B</v>
      </c>
      <c r="E327" s="189" t="str">
        <f ca="1">IFERROR(__xludf.DUMMYFUNCTION("""COMPUTED_VALUE"""),"F")</f>
        <v>F</v>
      </c>
      <c r="F327" s="189" t="str">
        <f ca="1">IFERROR(__xludf.DUMMYFUNCTION("""COMPUTED_VALUE"""),"J")</f>
        <v>J</v>
      </c>
      <c r="G327" s="189">
        <f ca="1">IFERROR(__xludf.DUMMYFUNCTION("""COMPUTED_VALUE"""),2)</f>
        <v>2</v>
      </c>
      <c r="H327" s="196"/>
      <c r="I327" s="196"/>
      <c r="J327" s="196"/>
      <c r="K327" s="196"/>
      <c r="L327" s="196" t="str">
        <v/>
      </c>
      <c r="M327" s="196"/>
    </row>
    <row r="328" spans="1:13" ht="14.4" x14ac:dyDescent="0.3">
      <c r="A328" s="189" t="str">
        <f ca="1">IFERROR(__xludf.DUMMYFUNCTION("""COMPUTED_VALUE"""),"DH")</f>
        <v>DH</v>
      </c>
      <c r="B328" s="195" t="str">
        <f ca="1">IFERROR(__xludf.DUMMYFUNCTION("""COMPUTED_VALUE"""),"Luca Hardin")</f>
        <v>Luca Hardin</v>
      </c>
      <c r="C328" s="189">
        <f ca="1">IFERROR(__xludf.DUMMYFUNCTION("""COMPUTED_VALUE"""),10)</f>
        <v>10</v>
      </c>
      <c r="D328" s="189" t="str">
        <f ca="1">IFERROR(__xludf.DUMMYFUNCTION("""COMPUTED_VALUE"""),"B")</f>
        <v>B</v>
      </c>
      <c r="E328" s="189" t="str">
        <f ca="1">IFERROR(__xludf.DUMMYFUNCTION("""COMPUTED_VALUE"""),"F")</f>
        <v>F</v>
      </c>
      <c r="F328" s="189" t="str">
        <f ca="1">IFERROR(__xludf.DUMMYFUNCTION("""COMPUTED_VALUE"""),"J")</f>
        <v>J</v>
      </c>
      <c r="G328" s="189">
        <f ca="1">IFERROR(__xludf.DUMMYFUNCTION("""COMPUTED_VALUE"""),2)</f>
        <v>2</v>
      </c>
      <c r="H328" s="196"/>
      <c r="I328" s="196"/>
      <c r="J328" s="196"/>
      <c r="K328" s="196"/>
      <c r="L328" s="196" t="str">
        <v/>
      </c>
      <c r="M328" s="196"/>
    </row>
    <row r="329" spans="1:13" ht="14.4" x14ac:dyDescent="0.3">
      <c r="A329" s="189" t="str">
        <f ca="1">IFERROR(__xludf.DUMMYFUNCTION("""COMPUTED_VALUE"""),"DH")</f>
        <v>DH</v>
      </c>
      <c r="B329" s="195" t="str">
        <f ca="1">IFERROR(__xludf.DUMMYFUNCTION("""COMPUTED_VALUE"""),"Michael Bui")</f>
        <v>Michael Bui</v>
      </c>
      <c r="C329" s="189">
        <f ca="1">IFERROR(__xludf.DUMMYFUNCTION("""COMPUTED_VALUE"""),8)</f>
        <v>8</v>
      </c>
      <c r="D329" s="189" t="str">
        <f ca="1">IFERROR(__xludf.DUMMYFUNCTION("""COMPUTED_VALUE"""),"B")</f>
        <v>B</v>
      </c>
      <c r="E329" s="189" t="str">
        <f ca="1">IFERROR(__xludf.DUMMYFUNCTION("""COMPUTED_VALUE"""),"F")</f>
        <v>F</v>
      </c>
      <c r="F329" s="189" t="str">
        <f ca="1">IFERROR(__xludf.DUMMYFUNCTION("""COMPUTED_VALUE"""),"J")</f>
        <v>J</v>
      </c>
      <c r="G329" s="189">
        <f ca="1">IFERROR(__xludf.DUMMYFUNCTION("""COMPUTED_VALUE"""),2)</f>
        <v>2</v>
      </c>
      <c r="H329" s="196" t="s">
        <v>165</v>
      </c>
      <c r="I329" s="196"/>
      <c r="J329" s="196" t="s">
        <v>29</v>
      </c>
      <c r="K329" s="196"/>
      <c r="L329" s="196" t="str">
        <v xml:space="preserve"> 33.50</v>
      </c>
      <c r="M329" s="196"/>
    </row>
    <row r="330" spans="1:13" ht="14.4" x14ac:dyDescent="0.3">
      <c r="A330" s="189" t="str">
        <f ca="1">IFERROR(__xludf.DUMMYFUNCTION("""COMPUTED_VALUE"""),"DH")</f>
        <v>DH</v>
      </c>
      <c r="B330" s="195" t="str">
        <f ca="1">IFERROR(__xludf.DUMMYFUNCTION("""COMPUTED_VALUE"""),"Peter Goehring")</f>
        <v>Peter Goehring</v>
      </c>
      <c r="C330" s="189">
        <f ca="1">IFERROR(__xludf.DUMMYFUNCTION("""COMPUTED_VALUE"""),10)</f>
        <v>10</v>
      </c>
      <c r="D330" s="189" t="str">
        <f ca="1">IFERROR(__xludf.DUMMYFUNCTION("""COMPUTED_VALUE"""),"B")</f>
        <v>B</v>
      </c>
      <c r="E330" s="189" t="str">
        <f ca="1">IFERROR(__xludf.DUMMYFUNCTION("""COMPUTED_VALUE"""),"F")</f>
        <v>F</v>
      </c>
      <c r="F330" s="189" t="str">
        <f ca="1">IFERROR(__xludf.DUMMYFUNCTION("""COMPUTED_VALUE"""),"J")</f>
        <v>J</v>
      </c>
      <c r="G330" s="189">
        <f ca="1">IFERROR(__xludf.DUMMYFUNCTION("""COMPUTED_VALUE"""),2)</f>
        <v>2</v>
      </c>
      <c r="H330" s="196"/>
      <c r="I330" s="196"/>
      <c r="J330" s="196"/>
      <c r="K330" s="196"/>
      <c r="L330" s="196" t="str">
        <v/>
      </c>
      <c r="M330" s="196"/>
    </row>
    <row r="331" spans="1:13" ht="14.4" x14ac:dyDescent="0.3">
      <c r="A331" s="189" t="str">
        <f ca="1">IFERROR(__xludf.DUMMYFUNCTION("""COMPUTED_VALUE"""),"DH")</f>
        <v>DH</v>
      </c>
      <c r="B331" s="195" t="str">
        <f ca="1">IFERROR(__xludf.DUMMYFUNCTION("""COMPUTED_VALUE"""),"Xavier Zelle James")</f>
        <v>Xavier Zelle James</v>
      </c>
      <c r="C331" s="189">
        <f ca="1">IFERROR(__xludf.DUMMYFUNCTION("""COMPUTED_VALUE"""),9)</f>
        <v>9</v>
      </c>
      <c r="D331" s="189" t="str">
        <f ca="1">IFERROR(__xludf.DUMMYFUNCTION("""COMPUTED_VALUE"""),"B")</f>
        <v>B</v>
      </c>
      <c r="E331" s="189" t="str">
        <f ca="1">IFERROR(__xludf.DUMMYFUNCTION("""COMPUTED_VALUE"""),"F")</f>
        <v>F</v>
      </c>
      <c r="F331" s="189" t="str">
        <f ca="1">IFERROR(__xludf.DUMMYFUNCTION("""COMPUTED_VALUE"""),"J")</f>
        <v>J</v>
      </c>
      <c r="G331" s="189">
        <f ca="1">IFERROR(__xludf.DUMMYFUNCTION("""COMPUTED_VALUE"""),2)</f>
        <v>2</v>
      </c>
      <c r="H331" s="196"/>
      <c r="I331" s="196"/>
      <c r="J331" s="196"/>
      <c r="K331" s="196"/>
      <c r="L331" s="196" t="str">
        <v/>
      </c>
      <c r="M331" s="196"/>
    </row>
    <row r="332" spans="1:13" ht="14.4" x14ac:dyDescent="0.3">
      <c r="A332" s="189" t="str">
        <f ca="1">IFERROR(__xludf.DUMMYFUNCTION("""COMPUTED_VALUE"""),"DH")</f>
        <v>DH</v>
      </c>
      <c r="B332" s="195" t="str">
        <f ca="1">IFERROR(__xludf.DUMMYFUNCTION("""COMPUTED_VALUE"""),"Zach Ervin")</f>
        <v>Zach Ervin</v>
      </c>
      <c r="C332" s="189">
        <f ca="1">IFERROR(__xludf.DUMMYFUNCTION("""COMPUTED_VALUE"""),8)</f>
        <v>8</v>
      </c>
      <c r="D332" s="189" t="str">
        <f ca="1">IFERROR(__xludf.DUMMYFUNCTION("""COMPUTED_VALUE"""),"B")</f>
        <v>B</v>
      </c>
      <c r="E332" s="189" t="str">
        <f ca="1">IFERROR(__xludf.DUMMYFUNCTION("""COMPUTED_VALUE"""),"F")</f>
        <v>F</v>
      </c>
      <c r="F332" s="189" t="str">
        <f ca="1">IFERROR(__xludf.DUMMYFUNCTION("""COMPUTED_VALUE"""),"J")</f>
        <v>J</v>
      </c>
      <c r="G332" s="189">
        <f ca="1">IFERROR(__xludf.DUMMYFUNCTION("""COMPUTED_VALUE"""),2)</f>
        <v>2</v>
      </c>
      <c r="H332" s="196"/>
      <c r="I332" s="196"/>
      <c r="J332" s="196"/>
      <c r="K332" s="196"/>
      <c r="L332" s="196" t="str">
        <v/>
      </c>
      <c r="M332" s="196"/>
    </row>
    <row r="333" spans="1:13" ht="14.4" x14ac:dyDescent="0.3">
      <c r="A333" s="189" t="str">
        <f ca="1">IFERROR(__xludf.DUMMYFUNCTION("""COMPUTED_VALUE"""),"DH")</f>
        <v>DH</v>
      </c>
      <c r="B333" s="195" t="str">
        <f ca="1">IFERROR(__xludf.DUMMYFUNCTION("""COMPUTED_VALUE"""),"Zach Mathieson")</f>
        <v>Zach Mathieson</v>
      </c>
      <c r="C333" s="189">
        <f ca="1">IFERROR(__xludf.DUMMYFUNCTION("""COMPUTED_VALUE"""),10)</f>
        <v>10</v>
      </c>
      <c r="D333" s="189" t="str">
        <f ca="1">IFERROR(__xludf.DUMMYFUNCTION("""COMPUTED_VALUE"""),"B")</f>
        <v>B</v>
      </c>
      <c r="E333" s="189" t="str">
        <f ca="1">IFERROR(__xludf.DUMMYFUNCTION("""COMPUTED_VALUE"""),"F")</f>
        <v>F</v>
      </c>
      <c r="F333" s="189" t="str">
        <f ca="1">IFERROR(__xludf.DUMMYFUNCTION("""COMPUTED_VALUE"""),"J")</f>
        <v>J</v>
      </c>
      <c r="G333" s="189">
        <f ca="1">IFERROR(__xludf.DUMMYFUNCTION("""COMPUTED_VALUE"""),2)</f>
        <v>2</v>
      </c>
      <c r="H333" s="196" t="s">
        <v>166</v>
      </c>
      <c r="I333" s="196"/>
      <c r="J333" s="196" t="s">
        <v>29</v>
      </c>
      <c r="K333" s="196"/>
      <c r="L333" s="196" t="str">
        <v xml:space="preserve"> 71.00</v>
      </c>
      <c r="M333" s="196"/>
    </row>
    <row r="334" spans="1:13" ht="14.4" x14ac:dyDescent="0.3">
      <c r="A334" s="189" t="str">
        <f ca="1">IFERROR(__xludf.DUMMYFUNCTION("""COMPUTED_VALUE"""),"DH")</f>
        <v>DH</v>
      </c>
      <c r="B334" s="195" t="str">
        <f ca="1">IFERROR(__xludf.DUMMYFUNCTION("""COMPUTED_VALUE"""),"Clara Zelle James")</f>
        <v>Clara Zelle James</v>
      </c>
      <c r="C334" s="189">
        <f ca="1">IFERROR(__xludf.DUMMYFUNCTION("""COMPUTED_VALUE"""),14)</f>
        <v>14</v>
      </c>
      <c r="D334" s="189" t="str">
        <f ca="1">IFERROR(__xludf.DUMMYFUNCTION("""COMPUTED_VALUE"""),"G")</f>
        <v>G</v>
      </c>
      <c r="E334" s="189" t="str">
        <f ca="1">IFERROR(__xludf.DUMMYFUNCTION("""COMPUTED_VALUE"""),"I")</f>
        <v>I</v>
      </c>
      <c r="F334" s="189" t="str">
        <f ca="1">IFERROR(__xludf.DUMMYFUNCTION("""COMPUTED_VALUE"""),"S")</f>
        <v>S</v>
      </c>
      <c r="G334" s="189">
        <f ca="1">IFERROR(__xludf.DUMMYFUNCTION("""COMPUTED_VALUE"""),2)</f>
        <v>2</v>
      </c>
      <c r="H334" s="196"/>
      <c r="I334" s="196"/>
      <c r="J334" s="196"/>
      <c r="K334" s="196"/>
      <c r="L334" s="196" t="str">
        <v/>
      </c>
      <c r="M334" s="196"/>
    </row>
    <row r="335" spans="1:13" ht="14.4" x14ac:dyDescent="0.3">
      <c r="A335" s="189" t="str">
        <f ca="1">IFERROR(__xludf.DUMMYFUNCTION("""COMPUTED_VALUE"""),"DH")</f>
        <v>DH</v>
      </c>
      <c r="B335" s="195" t="str">
        <f ca="1">IFERROR(__xludf.DUMMYFUNCTION("""COMPUTED_VALUE"""),"Hannah Ax")</f>
        <v>Hannah Ax</v>
      </c>
      <c r="C335" s="189">
        <f ca="1">IFERROR(__xludf.DUMMYFUNCTION("""COMPUTED_VALUE"""),14)</f>
        <v>14</v>
      </c>
      <c r="D335" s="189" t="str">
        <f ca="1">IFERROR(__xludf.DUMMYFUNCTION("""COMPUTED_VALUE"""),"G")</f>
        <v>G</v>
      </c>
      <c r="E335" s="189" t="str">
        <f ca="1">IFERROR(__xludf.DUMMYFUNCTION("""COMPUTED_VALUE"""),"I")</f>
        <v>I</v>
      </c>
      <c r="F335" s="189" t="str">
        <f ca="1">IFERROR(__xludf.DUMMYFUNCTION("""COMPUTED_VALUE"""),"S")</f>
        <v>S</v>
      </c>
      <c r="G335" s="189">
        <f ca="1">IFERROR(__xludf.DUMMYFUNCTION("""COMPUTED_VALUE"""),2)</f>
        <v>2</v>
      </c>
      <c r="H335" s="196" t="s">
        <v>167</v>
      </c>
      <c r="I335" s="196"/>
      <c r="J335" s="196" t="s">
        <v>29</v>
      </c>
      <c r="K335" s="196"/>
      <c r="L335" s="196" t="str">
        <v xml:space="preserve"> 130.75</v>
      </c>
      <c r="M335" s="196"/>
    </row>
    <row r="336" spans="1:13" ht="14.4" x14ac:dyDescent="0.3">
      <c r="A336" s="189" t="str">
        <f ca="1">IFERROR(__xludf.DUMMYFUNCTION("""COMPUTED_VALUE"""),"DH")</f>
        <v>DH</v>
      </c>
      <c r="B336" s="195" t="str">
        <f ca="1">IFERROR(__xludf.DUMMYFUNCTION("""COMPUTED_VALUE"""),"Hayden Shelton")</f>
        <v>Hayden Shelton</v>
      </c>
      <c r="C336" s="189">
        <f ca="1">IFERROR(__xludf.DUMMYFUNCTION("""COMPUTED_VALUE"""),14)</f>
        <v>14</v>
      </c>
      <c r="D336" s="189" t="str">
        <f ca="1">IFERROR(__xludf.DUMMYFUNCTION("""COMPUTED_VALUE"""),"G")</f>
        <v>G</v>
      </c>
      <c r="E336" s="189" t="str">
        <f ca="1">IFERROR(__xludf.DUMMYFUNCTION("""COMPUTED_VALUE"""),"I")</f>
        <v>I</v>
      </c>
      <c r="F336" s="189" t="str">
        <f ca="1">IFERROR(__xludf.DUMMYFUNCTION("""COMPUTED_VALUE"""),"S")</f>
        <v>S</v>
      </c>
      <c r="G336" s="189">
        <f ca="1">IFERROR(__xludf.DUMMYFUNCTION("""COMPUTED_VALUE"""),2)</f>
        <v>2</v>
      </c>
      <c r="H336" s="196"/>
      <c r="I336" s="196"/>
      <c r="J336" s="196"/>
      <c r="K336" s="196"/>
      <c r="L336" s="196" t="str">
        <v/>
      </c>
      <c r="M336" s="196"/>
    </row>
    <row r="337" spans="1:13" ht="14.4" x14ac:dyDescent="0.3">
      <c r="A337" s="189" t="str">
        <f ca="1">IFERROR(__xludf.DUMMYFUNCTION("""COMPUTED_VALUE"""),"DH")</f>
        <v>DH</v>
      </c>
      <c r="B337" s="195" t="str">
        <f ca="1">IFERROR(__xludf.DUMMYFUNCTION("""COMPUTED_VALUE"""),"Shea Erickson")</f>
        <v>Shea Erickson</v>
      </c>
      <c r="C337" s="189">
        <f ca="1">IFERROR(__xludf.DUMMYFUNCTION("""COMPUTED_VALUE"""),13)</f>
        <v>13</v>
      </c>
      <c r="D337" s="189" t="str">
        <f ca="1">IFERROR(__xludf.DUMMYFUNCTION("""COMPUTED_VALUE"""),"G")</f>
        <v>G</v>
      </c>
      <c r="E337" s="189" t="str">
        <f ca="1">IFERROR(__xludf.DUMMYFUNCTION("""COMPUTED_VALUE"""),"I")</f>
        <v>I</v>
      </c>
      <c r="F337" s="189" t="str">
        <f ca="1">IFERROR(__xludf.DUMMYFUNCTION("""COMPUTED_VALUE"""),"S")</f>
        <v>S</v>
      </c>
      <c r="G337" s="189">
        <f ca="1">IFERROR(__xludf.DUMMYFUNCTION("""COMPUTED_VALUE"""),2)</f>
        <v>2</v>
      </c>
      <c r="H337" s="196"/>
      <c r="I337" s="196"/>
      <c r="J337" s="196"/>
      <c r="K337" s="196"/>
      <c r="L337" s="196" t="str">
        <v/>
      </c>
      <c r="M337" s="196"/>
    </row>
    <row r="338" spans="1:13" ht="14.4" x14ac:dyDescent="0.3">
      <c r="A338" s="189" t="str">
        <f ca="1">IFERROR(__xludf.DUMMYFUNCTION("""COMPUTED_VALUE"""),"DH")</f>
        <v>DH</v>
      </c>
      <c r="B338" s="195" t="str">
        <f ca="1">IFERROR(__xludf.DUMMYFUNCTION("""COMPUTED_VALUE"""),"Charlie Morrison")</f>
        <v>Charlie Morrison</v>
      </c>
      <c r="C338" s="189">
        <f ca="1">IFERROR(__xludf.DUMMYFUNCTION("""COMPUTED_VALUE"""),14)</f>
        <v>14</v>
      </c>
      <c r="D338" s="189" t="str">
        <f ca="1">IFERROR(__xludf.DUMMYFUNCTION("""COMPUTED_VALUE"""),"B")</f>
        <v>B</v>
      </c>
      <c r="E338" s="189" t="str">
        <f ca="1">IFERROR(__xludf.DUMMYFUNCTION("""COMPUTED_VALUE"""),"I")</f>
        <v>I</v>
      </c>
      <c r="F338" s="189" t="str">
        <f ca="1">IFERROR(__xludf.DUMMYFUNCTION("""COMPUTED_VALUE"""),"S")</f>
        <v>S</v>
      </c>
      <c r="G338" s="189">
        <f ca="1">IFERROR(__xludf.DUMMYFUNCTION("""COMPUTED_VALUE"""),2)</f>
        <v>2</v>
      </c>
      <c r="H338" s="196" t="s">
        <v>168</v>
      </c>
      <c r="I338" s="196"/>
      <c r="J338" s="196" t="s">
        <v>29</v>
      </c>
      <c r="K338" s="196"/>
      <c r="L338" s="196" t="str">
        <v xml:space="preserve"> 180.90</v>
      </c>
      <c r="M338" s="196"/>
    </row>
    <row r="339" spans="1:13" ht="14.4" x14ac:dyDescent="0.3">
      <c r="A339" s="189" t="str">
        <f ca="1">IFERROR(__xludf.DUMMYFUNCTION("""COMPUTED_VALUE"""),"DH")</f>
        <v>DH</v>
      </c>
      <c r="B339" s="195" t="str">
        <f ca="1">IFERROR(__xludf.DUMMYFUNCTION("""COMPUTED_VALUE"""),"Christopher Crepeau")</f>
        <v>Christopher Crepeau</v>
      </c>
      <c r="C339" s="189">
        <f ca="1">IFERROR(__xludf.DUMMYFUNCTION("""COMPUTED_VALUE"""),13)</f>
        <v>13</v>
      </c>
      <c r="D339" s="189" t="str">
        <f ca="1">IFERROR(__xludf.DUMMYFUNCTION("""COMPUTED_VALUE"""),"B")</f>
        <v>B</v>
      </c>
      <c r="E339" s="189" t="str">
        <f ca="1">IFERROR(__xludf.DUMMYFUNCTION("""COMPUTED_VALUE"""),"I")</f>
        <v>I</v>
      </c>
      <c r="F339" s="189" t="str">
        <f ca="1">IFERROR(__xludf.DUMMYFUNCTION("""COMPUTED_VALUE"""),"S")</f>
        <v>S</v>
      </c>
      <c r="G339" s="189">
        <f ca="1">IFERROR(__xludf.DUMMYFUNCTION("""COMPUTED_VALUE"""),2)</f>
        <v>2</v>
      </c>
      <c r="H339" s="196"/>
      <c r="I339" s="196"/>
      <c r="J339" s="196"/>
      <c r="K339" s="196"/>
      <c r="L339" s="196" t="str">
        <v/>
      </c>
      <c r="M339" s="196"/>
    </row>
    <row r="340" spans="1:13" ht="14.4" x14ac:dyDescent="0.3">
      <c r="A340" s="189" t="str">
        <f ca="1">IFERROR(__xludf.DUMMYFUNCTION("""COMPUTED_VALUE"""),"DH")</f>
        <v>DH</v>
      </c>
      <c r="B340" s="195" t="str">
        <f ca="1">IFERROR(__xludf.DUMMYFUNCTION("""COMPUTED_VALUE"""),"Logan DiBenigno")</f>
        <v>Logan DiBenigno</v>
      </c>
      <c r="C340" s="189">
        <f ca="1">IFERROR(__xludf.DUMMYFUNCTION("""COMPUTED_VALUE"""),13)</f>
        <v>13</v>
      </c>
      <c r="D340" s="189" t="str">
        <f ca="1">IFERROR(__xludf.DUMMYFUNCTION("""COMPUTED_VALUE"""),"B")</f>
        <v>B</v>
      </c>
      <c r="E340" s="189" t="str">
        <f ca="1">IFERROR(__xludf.DUMMYFUNCTION("""COMPUTED_VALUE"""),"I")</f>
        <v>I</v>
      </c>
      <c r="F340" s="189" t="str">
        <f ca="1">IFERROR(__xludf.DUMMYFUNCTION("""COMPUTED_VALUE"""),"S")</f>
        <v>S</v>
      </c>
      <c r="G340" s="189">
        <f ca="1">IFERROR(__xludf.DUMMYFUNCTION("""COMPUTED_VALUE"""),2)</f>
        <v>2</v>
      </c>
      <c r="H340" s="196"/>
      <c r="I340" s="196"/>
      <c r="J340" s="196"/>
      <c r="K340" s="196"/>
      <c r="L340" s="196" t="str">
        <v/>
      </c>
      <c r="M340" s="196"/>
    </row>
    <row r="341" spans="1:13" ht="14.4" x14ac:dyDescent="0.3">
      <c r="A341" s="189" t="str">
        <f ca="1">IFERROR(__xludf.DUMMYFUNCTION("""COMPUTED_VALUE"""),"DH")</f>
        <v>DH</v>
      </c>
      <c r="B341" s="195" t="str">
        <f ca="1">IFERROR(__xludf.DUMMYFUNCTION("""COMPUTED_VALUE"""),"Claire Villella")</f>
        <v>Claire Villella</v>
      </c>
      <c r="C341" s="189">
        <f ca="1">IFERROR(__xludf.DUMMYFUNCTION("""COMPUTED_VALUE"""),12)</f>
        <v>12</v>
      </c>
      <c r="D341" s="189" t="str">
        <f ca="1">IFERROR(__xludf.DUMMYFUNCTION("""COMPUTED_VALUE"""),"G")</f>
        <v>G</v>
      </c>
      <c r="E341" s="189" t="str">
        <f ca="1">IFERROR(__xludf.DUMMYFUNCTION("""COMPUTED_VALUE"""),"J")</f>
        <v>J</v>
      </c>
      <c r="F341" s="189" t="str">
        <f ca="1">IFERROR(__xludf.DUMMYFUNCTION("""COMPUTED_VALUE"""),"I")</f>
        <v>I</v>
      </c>
      <c r="G341" s="189">
        <f ca="1">IFERROR(__xludf.DUMMYFUNCTION("""COMPUTED_VALUE"""),2)</f>
        <v>2</v>
      </c>
      <c r="H341" s="196"/>
      <c r="I341" s="196"/>
      <c r="J341" s="196"/>
      <c r="K341" s="196"/>
      <c r="L341" s="196" t="str">
        <v/>
      </c>
      <c r="M341" s="196"/>
    </row>
    <row r="342" spans="1:13" ht="14.4" x14ac:dyDescent="0.3">
      <c r="A342" s="189" t="str">
        <f ca="1">IFERROR(__xludf.DUMMYFUNCTION("""COMPUTED_VALUE"""),"DH")</f>
        <v>DH</v>
      </c>
      <c r="B342" s="195" t="str">
        <f ca="1">IFERROR(__xludf.DUMMYFUNCTION("""COMPUTED_VALUE"""),"Eleanor Goehring")</f>
        <v>Eleanor Goehring</v>
      </c>
      <c r="C342" s="189">
        <f ca="1">IFERROR(__xludf.DUMMYFUNCTION("""COMPUTED_VALUE"""),12)</f>
        <v>12</v>
      </c>
      <c r="D342" s="189" t="str">
        <f ca="1">IFERROR(__xludf.DUMMYFUNCTION("""COMPUTED_VALUE"""),"G")</f>
        <v>G</v>
      </c>
      <c r="E342" s="189" t="str">
        <f ca="1">IFERROR(__xludf.DUMMYFUNCTION("""COMPUTED_VALUE"""),"J")</f>
        <v>J</v>
      </c>
      <c r="F342" s="189" t="str">
        <f ca="1">IFERROR(__xludf.DUMMYFUNCTION("""COMPUTED_VALUE"""),"I")</f>
        <v>I</v>
      </c>
      <c r="G342" s="189">
        <f ca="1">IFERROR(__xludf.DUMMYFUNCTION("""COMPUTED_VALUE"""),2)</f>
        <v>2</v>
      </c>
      <c r="H342" s="196" t="s">
        <v>169</v>
      </c>
      <c r="I342" s="196"/>
      <c r="J342" s="196" t="s">
        <v>29</v>
      </c>
      <c r="K342" s="196"/>
      <c r="L342" s="196" t="str">
        <v xml:space="preserve"> 81.30</v>
      </c>
      <c r="M342" s="196"/>
    </row>
    <row r="343" spans="1:13" ht="14.4" x14ac:dyDescent="0.3">
      <c r="A343" s="189" t="str">
        <f ca="1">IFERROR(__xludf.DUMMYFUNCTION("""COMPUTED_VALUE"""),"DH")</f>
        <v>DH</v>
      </c>
      <c r="B343" s="195" t="str">
        <f ca="1">IFERROR(__xludf.DUMMYFUNCTION("""COMPUTED_VALUE"""),"Elsa Jackson")</f>
        <v>Elsa Jackson</v>
      </c>
      <c r="C343" s="189">
        <f ca="1">IFERROR(__xludf.DUMMYFUNCTION("""COMPUTED_VALUE"""),11)</f>
        <v>11</v>
      </c>
      <c r="D343" s="189" t="str">
        <f ca="1">IFERROR(__xludf.DUMMYFUNCTION("""COMPUTED_VALUE"""),"G")</f>
        <v>G</v>
      </c>
      <c r="E343" s="189" t="str">
        <f ca="1">IFERROR(__xludf.DUMMYFUNCTION("""COMPUTED_VALUE"""),"J")</f>
        <v>J</v>
      </c>
      <c r="F343" s="189" t="str">
        <f ca="1">IFERROR(__xludf.DUMMYFUNCTION("""COMPUTED_VALUE"""),"I")</f>
        <v>I</v>
      </c>
      <c r="G343" s="189">
        <f ca="1">IFERROR(__xludf.DUMMYFUNCTION("""COMPUTED_VALUE"""),2)</f>
        <v>2</v>
      </c>
      <c r="H343" s="196"/>
      <c r="I343" s="196"/>
      <c r="J343" s="196"/>
      <c r="K343" s="196"/>
      <c r="L343" s="196" t="str">
        <v/>
      </c>
      <c r="M343" s="196"/>
    </row>
    <row r="344" spans="1:13" ht="14.4" x14ac:dyDescent="0.3">
      <c r="A344" s="189" t="str">
        <f ca="1">IFERROR(__xludf.DUMMYFUNCTION("""COMPUTED_VALUE"""),"DH")</f>
        <v>DH</v>
      </c>
      <c r="B344" s="195" t="str">
        <f ca="1">IFERROR(__xludf.DUMMYFUNCTION("""COMPUTED_VALUE"""),"Hannah Robbins")</f>
        <v>Hannah Robbins</v>
      </c>
      <c r="C344" s="189">
        <f ca="1">IFERROR(__xludf.DUMMYFUNCTION("""COMPUTED_VALUE"""),12)</f>
        <v>12</v>
      </c>
      <c r="D344" s="189" t="str">
        <f ca="1">IFERROR(__xludf.DUMMYFUNCTION("""COMPUTED_VALUE"""),"G")</f>
        <v>G</v>
      </c>
      <c r="E344" s="189" t="str">
        <f ca="1">IFERROR(__xludf.DUMMYFUNCTION("""COMPUTED_VALUE"""),"J")</f>
        <v>J</v>
      </c>
      <c r="F344" s="189" t="str">
        <f ca="1">IFERROR(__xludf.DUMMYFUNCTION("""COMPUTED_VALUE"""),"I")</f>
        <v>I</v>
      </c>
      <c r="G344" s="189">
        <f ca="1">IFERROR(__xludf.DUMMYFUNCTION("""COMPUTED_VALUE"""),2)</f>
        <v>2</v>
      </c>
      <c r="H344" s="196"/>
      <c r="I344" s="196"/>
      <c r="J344" s="196"/>
      <c r="K344" s="196"/>
      <c r="L344" s="196" t="str">
        <v/>
      </c>
      <c r="M344" s="196"/>
    </row>
    <row r="345" spans="1:13" ht="14.4" x14ac:dyDescent="0.3">
      <c r="A345" s="189" t="str">
        <f ca="1">IFERROR(__xludf.DUMMYFUNCTION("""COMPUTED_VALUE"""),"DH")</f>
        <v>DH</v>
      </c>
      <c r="B345" s="195" t="str">
        <f ca="1">IFERROR(__xludf.DUMMYFUNCTION("""COMPUTED_VALUE"""),"Helen Butler")</f>
        <v>Helen Butler</v>
      </c>
      <c r="C345" s="189">
        <f ca="1">IFERROR(__xludf.DUMMYFUNCTION("""COMPUTED_VALUE"""),12)</f>
        <v>12</v>
      </c>
      <c r="D345" s="189" t="str">
        <f ca="1">IFERROR(__xludf.DUMMYFUNCTION("""COMPUTED_VALUE"""),"G")</f>
        <v>G</v>
      </c>
      <c r="E345" s="189" t="str">
        <f ca="1">IFERROR(__xludf.DUMMYFUNCTION("""COMPUTED_VALUE"""),"J")</f>
        <v>J</v>
      </c>
      <c r="F345" s="189" t="str">
        <f ca="1">IFERROR(__xludf.DUMMYFUNCTION("""COMPUTED_VALUE"""),"I")</f>
        <v>I</v>
      </c>
      <c r="G345" s="189">
        <f ca="1">IFERROR(__xludf.DUMMYFUNCTION("""COMPUTED_VALUE"""),2)</f>
        <v>2</v>
      </c>
      <c r="H345" s="196" t="s">
        <v>170</v>
      </c>
      <c r="I345" s="196"/>
      <c r="J345" s="196" t="s">
        <v>29</v>
      </c>
      <c r="K345" s="196"/>
      <c r="L345" s="196" t="str">
        <v xml:space="preserve"> 109.40</v>
      </c>
      <c r="M345" s="196"/>
    </row>
    <row r="346" spans="1:13" ht="14.4" x14ac:dyDescent="0.3">
      <c r="A346" s="189" t="str">
        <f ca="1">IFERROR(__xludf.DUMMYFUNCTION("""COMPUTED_VALUE"""),"DH")</f>
        <v>DH</v>
      </c>
      <c r="B346" s="195" t="str">
        <f ca="1">IFERROR(__xludf.DUMMYFUNCTION("""COMPUTED_VALUE"""),"Sofo Akiyama Sarmentero")</f>
        <v>Sofo Akiyama Sarmentero</v>
      </c>
      <c r="C346" s="189">
        <f ca="1">IFERROR(__xludf.DUMMYFUNCTION("""COMPUTED_VALUE"""),11)</f>
        <v>11</v>
      </c>
      <c r="D346" s="189" t="str">
        <f ca="1">IFERROR(__xludf.DUMMYFUNCTION("""COMPUTED_VALUE"""),"G")</f>
        <v>G</v>
      </c>
      <c r="E346" s="189" t="str">
        <f ca="1">IFERROR(__xludf.DUMMYFUNCTION("""COMPUTED_VALUE"""),"J")</f>
        <v>J</v>
      </c>
      <c r="F346" s="189" t="str">
        <f ca="1">IFERROR(__xludf.DUMMYFUNCTION("""COMPUTED_VALUE"""),"I")</f>
        <v>I</v>
      </c>
      <c r="G346" s="189">
        <f ca="1">IFERROR(__xludf.DUMMYFUNCTION("""COMPUTED_VALUE"""),2)</f>
        <v>2</v>
      </c>
      <c r="H346" s="196"/>
      <c r="I346" s="196"/>
      <c r="J346" s="196"/>
      <c r="K346" s="196"/>
      <c r="L346" s="196" t="str">
        <v/>
      </c>
      <c r="M346" s="196"/>
    </row>
    <row r="347" spans="1:13" ht="14.4" x14ac:dyDescent="0.3">
      <c r="A347" s="189" t="str">
        <f ca="1">IFERROR(__xludf.DUMMYFUNCTION("""COMPUTED_VALUE"""),"DH")</f>
        <v>DH</v>
      </c>
      <c r="B347" s="195" t="str">
        <f ca="1">IFERROR(__xludf.DUMMYFUNCTION("""COMPUTED_VALUE"""),"Ben Panko")</f>
        <v>Ben Panko</v>
      </c>
      <c r="C347" s="189">
        <f ca="1">IFERROR(__xludf.DUMMYFUNCTION("""COMPUTED_VALUE"""),12)</f>
        <v>12</v>
      </c>
      <c r="D347" s="189" t="str">
        <f ca="1">IFERROR(__xludf.DUMMYFUNCTION("""COMPUTED_VALUE"""),"B")</f>
        <v>B</v>
      </c>
      <c r="E347" s="189" t="str">
        <f ca="1">IFERROR(__xludf.DUMMYFUNCTION("""COMPUTED_VALUE"""),"J")</f>
        <v>J</v>
      </c>
      <c r="F347" s="189" t="str">
        <f ca="1">IFERROR(__xludf.DUMMYFUNCTION("""COMPUTED_VALUE"""),"I")</f>
        <v>I</v>
      </c>
      <c r="G347" s="189">
        <f ca="1">IFERROR(__xludf.DUMMYFUNCTION("""COMPUTED_VALUE"""),2)</f>
        <v>2</v>
      </c>
      <c r="H347" s="196" t="s">
        <v>171</v>
      </c>
      <c r="I347" s="196"/>
      <c r="J347" s="196" t="s">
        <v>29</v>
      </c>
      <c r="K347" s="196"/>
      <c r="L347" s="196" t="str">
        <v xml:space="preserve"> 64.85</v>
      </c>
      <c r="M347" s="196"/>
    </row>
    <row r="348" spans="1:13" ht="14.4" x14ac:dyDescent="0.3">
      <c r="A348" s="189" t="str">
        <f ca="1">IFERROR(__xludf.DUMMYFUNCTION("""COMPUTED_VALUE"""),"DH")</f>
        <v>DH</v>
      </c>
      <c r="B348" s="195" t="str">
        <f ca="1">IFERROR(__xludf.DUMMYFUNCTION("""COMPUTED_VALUE"""),"Eammon Bownas")</f>
        <v>Eammon Bownas</v>
      </c>
      <c r="C348" s="189">
        <f ca="1">IFERROR(__xludf.DUMMYFUNCTION("""COMPUTED_VALUE"""),11)</f>
        <v>11</v>
      </c>
      <c r="D348" s="189" t="str">
        <f ca="1">IFERROR(__xludf.DUMMYFUNCTION("""COMPUTED_VALUE"""),"B")</f>
        <v>B</v>
      </c>
      <c r="E348" s="189" t="str">
        <f ca="1">IFERROR(__xludf.DUMMYFUNCTION("""COMPUTED_VALUE"""),"J")</f>
        <v>J</v>
      </c>
      <c r="F348" s="189" t="str">
        <f ca="1">IFERROR(__xludf.DUMMYFUNCTION("""COMPUTED_VALUE"""),"I")</f>
        <v>I</v>
      </c>
      <c r="G348" s="189">
        <f ca="1">IFERROR(__xludf.DUMMYFUNCTION("""COMPUTED_VALUE"""),2)</f>
        <v>2</v>
      </c>
      <c r="H348" s="196" t="s">
        <v>172</v>
      </c>
      <c r="I348" s="196"/>
      <c r="J348" s="196" t="s">
        <v>29</v>
      </c>
      <c r="K348" s="196"/>
      <c r="L348" s="196" t="str">
        <v xml:space="preserve"> 61.20</v>
      </c>
      <c r="M348" s="196"/>
    </row>
    <row r="349" spans="1:13" ht="14.4" x14ac:dyDescent="0.3">
      <c r="A349" s="189" t="str">
        <f ca="1">IFERROR(__xludf.DUMMYFUNCTION("""COMPUTED_VALUE"""),"DH")</f>
        <v>DH</v>
      </c>
      <c r="B349" s="195" t="str">
        <f ca="1">IFERROR(__xludf.DUMMYFUNCTION("""COMPUTED_VALUE"""),"Franklin McShane")</f>
        <v>Franklin McShane</v>
      </c>
      <c r="C349" s="189">
        <f ca="1">IFERROR(__xludf.DUMMYFUNCTION("""COMPUTED_VALUE"""),11)</f>
        <v>11</v>
      </c>
      <c r="D349" s="189" t="str">
        <f ca="1">IFERROR(__xludf.DUMMYFUNCTION("""COMPUTED_VALUE"""),"B")</f>
        <v>B</v>
      </c>
      <c r="E349" s="189" t="str">
        <f ca="1">IFERROR(__xludf.DUMMYFUNCTION("""COMPUTED_VALUE"""),"J")</f>
        <v>J</v>
      </c>
      <c r="F349" s="189" t="str">
        <f ca="1">IFERROR(__xludf.DUMMYFUNCTION("""COMPUTED_VALUE"""),"I")</f>
        <v>I</v>
      </c>
      <c r="G349" s="189">
        <f ca="1">IFERROR(__xludf.DUMMYFUNCTION("""COMPUTED_VALUE"""),2)</f>
        <v>2</v>
      </c>
      <c r="H349" s="196"/>
      <c r="I349" s="196"/>
      <c r="J349" s="196"/>
      <c r="K349" s="196"/>
      <c r="L349" s="196" t="str">
        <v/>
      </c>
      <c r="M349" s="196"/>
    </row>
    <row r="350" spans="1:13" ht="14.4" x14ac:dyDescent="0.3">
      <c r="A350" s="189" t="str">
        <f ca="1">IFERROR(__xludf.DUMMYFUNCTION("""COMPUTED_VALUE"""),"DH")</f>
        <v>DH</v>
      </c>
      <c r="B350" s="195" t="str">
        <f ca="1">IFERROR(__xludf.DUMMYFUNCTION("""COMPUTED_VALUE"""),"Ian Bradley")</f>
        <v>Ian Bradley</v>
      </c>
      <c r="C350" s="189">
        <f ca="1">IFERROR(__xludf.DUMMYFUNCTION("""COMPUTED_VALUE"""),12)</f>
        <v>12</v>
      </c>
      <c r="D350" s="189" t="str">
        <f ca="1">IFERROR(__xludf.DUMMYFUNCTION("""COMPUTED_VALUE"""),"B")</f>
        <v>B</v>
      </c>
      <c r="E350" s="189" t="str">
        <f ca="1">IFERROR(__xludf.DUMMYFUNCTION("""COMPUTED_VALUE"""),"J")</f>
        <v>J</v>
      </c>
      <c r="F350" s="189" t="str">
        <f ca="1">IFERROR(__xludf.DUMMYFUNCTION("""COMPUTED_VALUE"""),"I")</f>
        <v>I</v>
      </c>
      <c r="G350" s="189">
        <f ca="1">IFERROR(__xludf.DUMMYFUNCTION("""COMPUTED_VALUE"""),2)</f>
        <v>2</v>
      </c>
      <c r="H350" s="196" t="s">
        <v>173</v>
      </c>
      <c r="I350" s="196"/>
      <c r="J350" s="196" t="s">
        <v>29</v>
      </c>
      <c r="K350" s="196"/>
      <c r="L350" s="196" t="str">
        <v xml:space="preserve"> 48.75</v>
      </c>
      <c r="M350" s="196"/>
    </row>
    <row r="351" spans="1:13" ht="14.4" x14ac:dyDescent="0.3">
      <c r="A351" s="189" t="str">
        <f ca="1">IFERROR(__xludf.DUMMYFUNCTION("""COMPUTED_VALUE"""),"DH")</f>
        <v>DH</v>
      </c>
      <c r="B351" s="195" t="str">
        <f ca="1">IFERROR(__xludf.DUMMYFUNCTION("""COMPUTED_VALUE"""),"Jack Ferrill")</f>
        <v>Jack Ferrill</v>
      </c>
      <c r="C351" s="189">
        <f ca="1">IFERROR(__xludf.DUMMYFUNCTION("""COMPUTED_VALUE"""),12)</f>
        <v>12</v>
      </c>
      <c r="D351" s="189" t="str">
        <f ca="1">IFERROR(__xludf.DUMMYFUNCTION("""COMPUTED_VALUE"""),"B")</f>
        <v>B</v>
      </c>
      <c r="E351" s="189" t="str">
        <f ca="1">IFERROR(__xludf.DUMMYFUNCTION("""COMPUTED_VALUE"""),"J")</f>
        <v>J</v>
      </c>
      <c r="F351" s="189" t="str">
        <f ca="1">IFERROR(__xludf.DUMMYFUNCTION("""COMPUTED_VALUE"""),"I")</f>
        <v>I</v>
      </c>
      <c r="G351" s="189">
        <f ca="1">IFERROR(__xludf.DUMMYFUNCTION("""COMPUTED_VALUE"""),2)</f>
        <v>2</v>
      </c>
      <c r="H351" s="196"/>
      <c r="I351" s="196"/>
      <c r="J351" s="196"/>
      <c r="K351" s="196"/>
      <c r="L351" s="196" t="str">
        <v/>
      </c>
      <c r="M351" s="196"/>
    </row>
    <row r="352" spans="1:13" ht="14.4" x14ac:dyDescent="0.3">
      <c r="A352" s="189" t="str">
        <f ca="1">IFERROR(__xludf.DUMMYFUNCTION("""COMPUTED_VALUE"""),"DH")</f>
        <v>DH</v>
      </c>
      <c r="B352" s="195" t="str">
        <f ca="1">IFERROR(__xludf.DUMMYFUNCTION("""COMPUTED_VALUE"""),"Joe Mathieson")</f>
        <v>Joe Mathieson</v>
      </c>
      <c r="C352" s="189">
        <f ca="1">IFERROR(__xludf.DUMMYFUNCTION("""COMPUTED_VALUE"""),12)</f>
        <v>12</v>
      </c>
      <c r="D352" s="189" t="str">
        <f ca="1">IFERROR(__xludf.DUMMYFUNCTION("""COMPUTED_VALUE"""),"B")</f>
        <v>B</v>
      </c>
      <c r="E352" s="189" t="str">
        <f ca="1">IFERROR(__xludf.DUMMYFUNCTION("""COMPUTED_VALUE"""),"J")</f>
        <v>J</v>
      </c>
      <c r="F352" s="189" t="str">
        <f ca="1">IFERROR(__xludf.DUMMYFUNCTION("""COMPUTED_VALUE"""),"I")</f>
        <v>I</v>
      </c>
      <c r="G352" s="189">
        <f ca="1">IFERROR(__xludf.DUMMYFUNCTION("""COMPUTED_VALUE"""),2)</f>
        <v>2</v>
      </c>
      <c r="H352" s="196"/>
      <c r="I352" s="196"/>
      <c r="J352" s="196"/>
      <c r="K352" s="196"/>
      <c r="L352" s="196" t="str">
        <v/>
      </c>
      <c r="M352" s="196"/>
    </row>
    <row r="353" spans="1:13" ht="14.4" x14ac:dyDescent="0.3">
      <c r="A353" s="189" t="str">
        <f ca="1">IFERROR(__xludf.DUMMYFUNCTION("""COMPUTED_VALUE"""),"DH")</f>
        <v>DH</v>
      </c>
      <c r="B353" s="195" t="str">
        <f ca="1">IFERROR(__xludf.DUMMYFUNCTION("""COMPUTED_VALUE"""),"John Bentson")</f>
        <v>John Bentson</v>
      </c>
      <c r="C353" s="189">
        <f ca="1">IFERROR(__xludf.DUMMYFUNCTION("""COMPUTED_VALUE"""),11)</f>
        <v>11</v>
      </c>
      <c r="D353" s="189" t="str">
        <f ca="1">IFERROR(__xludf.DUMMYFUNCTION("""COMPUTED_VALUE"""),"B")</f>
        <v>B</v>
      </c>
      <c r="E353" s="189" t="str">
        <f ca="1">IFERROR(__xludf.DUMMYFUNCTION("""COMPUTED_VALUE"""),"J")</f>
        <v>J</v>
      </c>
      <c r="F353" s="189" t="str">
        <f ca="1">IFERROR(__xludf.DUMMYFUNCTION("""COMPUTED_VALUE"""),"I")</f>
        <v>I</v>
      </c>
      <c r="G353" s="189">
        <f ca="1">IFERROR(__xludf.DUMMYFUNCTION("""COMPUTED_VALUE"""),2)</f>
        <v>2</v>
      </c>
      <c r="H353" s="196"/>
      <c r="I353" s="196"/>
      <c r="J353" s="196"/>
      <c r="K353" s="196"/>
      <c r="L353" s="196" t="str">
        <v/>
      </c>
      <c r="M353" s="196"/>
    </row>
    <row r="354" spans="1:13" ht="14.4" x14ac:dyDescent="0.3">
      <c r="A354" s="189" t="str">
        <f ca="1">IFERROR(__xludf.DUMMYFUNCTION("""COMPUTED_VALUE"""),"DH")</f>
        <v>DH</v>
      </c>
      <c r="B354" s="195" t="str">
        <f ca="1">IFERROR(__xludf.DUMMYFUNCTION("""COMPUTED_VALUE"""),"John Richard")</f>
        <v>John Richard</v>
      </c>
      <c r="C354" s="189">
        <f ca="1">IFERROR(__xludf.DUMMYFUNCTION("""COMPUTED_VALUE"""),11)</f>
        <v>11</v>
      </c>
      <c r="D354" s="189" t="str">
        <f ca="1">IFERROR(__xludf.DUMMYFUNCTION("""COMPUTED_VALUE"""),"B")</f>
        <v>B</v>
      </c>
      <c r="E354" s="189" t="str">
        <f ca="1">IFERROR(__xludf.DUMMYFUNCTION("""COMPUTED_VALUE"""),"J")</f>
        <v>J</v>
      </c>
      <c r="F354" s="189" t="str">
        <f ca="1">IFERROR(__xludf.DUMMYFUNCTION("""COMPUTED_VALUE"""),"I")</f>
        <v>I</v>
      </c>
      <c r="G354" s="189">
        <f ca="1">IFERROR(__xludf.DUMMYFUNCTION("""COMPUTED_VALUE"""),2)</f>
        <v>2</v>
      </c>
      <c r="H354" s="196"/>
      <c r="I354" s="196"/>
      <c r="J354" s="196"/>
      <c r="K354" s="196"/>
      <c r="L354" s="196" t="str">
        <v/>
      </c>
      <c r="M354" s="196"/>
    </row>
    <row r="355" spans="1:13" ht="14.4" x14ac:dyDescent="0.3">
      <c r="A355" s="189" t="str">
        <f ca="1">IFERROR(__xludf.DUMMYFUNCTION("""COMPUTED_VALUE"""),"DH")</f>
        <v>DH</v>
      </c>
      <c r="B355" s="195" t="str">
        <f ca="1">IFERROR(__xludf.DUMMYFUNCTION("""COMPUTED_VALUE"""),"Jude Erickson")</f>
        <v>Jude Erickson</v>
      </c>
      <c r="C355" s="189">
        <f ca="1">IFERROR(__xludf.DUMMYFUNCTION("""COMPUTED_VALUE"""),12)</f>
        <v>12</v>
      </c>
      <c r="D355" s="189" t="str">
        <f ca="1">IFERROR(__xludf.DUMMYFUNCTION("""COMPUTED_VALUE"""),"B")</f>
        <v>B</v>
      </c>
      <c r="E355" s="189" t="str">
        <f ca="1">IFERROR(__xludf.DUMMYFUNCTION("""COMPUTED_VALUE"""),"J")</f>
        <v>J</v>
      </c>
      <c r="F355" s="189" t="str">
        <f ca="1">IFERROR(__xludf.DUMMYFUNCTION("""COMPUTED_VALUE"""),"I")</f>
        <v>I</v>
      </c>
      <c r="G355" s="189">
        <f ca="1">IFERROR(__xludf.DUMMYFUNCTION("""COMPUTED_VALUE"""),2)</f>
        <v>2</v>
      </c>
      <c r="H355" s="196"/>
      <c r="I355" s="196"/>
      <c r="J355" s="196"/>
      <c r="K355" s="196"/>
      <c r="L355" s="196" t="str">
        <v/>
      </c>
      <c r="M355" s="196"/>
    </row>
    <row r="356" spans="1:13" ht="14.4" x14ac:dyDescent="0.3">
      <c r="A356" s="189" t="str">
        <f ca="1">IFERROR(__xludf.DUMMYFUNCTION("""COMPUTED_VALUE"""),"DH")</f>
        <v>DH</v>
      </c>
      <c r="B356" s="195" t="str">
        <f ca="1">IFERROR(__xludf.DUMMYFUNCTION("""COMPUTED_VALUE"""),"Lorenzo Hardin")</f>
        <v>Lorenzo Hardin</v>
      </c>
      <c r="C356" s="189">
        <f ca="1">IFERROR(__xludf.DUMMYFUNCTION("""COMPUTED_VALUE"""),12)</f>
        <v>12</v>
      </c>
      <c r="D356" s="189" t="str">
        <f ca="1">IFERROR(__xludf.DUMMYFUNCTION("""COMPUTED_VALUE"""),"B")</f>
        <v>B</v>
      </c>
      <c r="E356" s="189" t="str">
        <f ca="1">IFERROR(__xludf.DUMMYFUNCTION("""COMPUTED_VALUE"""),"J")</f>
        <v>J</v>
      </c>
      <c r="F356" s="189" t="str">
        <f ca="1">IFERROR(__xludf.DUMMYFUNCTION("""COMPUTED_VALUE"""),"I")</f>
        <v>I</v>
      </c>
      <c r="G356" s="189">
        <f ca="1">IFERROR(__xludf.DUMMYFUNCTION("""COMPUTED_VALUE"""),2)</f>
        <v>2</v>
      </c>
      <c r="H356" s="196"/>
      <c r="I356" s="196"/>
      <c r="J356" s="196"/>
      <c r="K356" s="196"/>
      <c r="L356" s="196" t="str">
        <v/>
      </c>
      <c r="M356" s="196"/>
    </row>
    <row r="357" spans="1:13" ht="14.4" x14ac:dyDescent="0.3">
      <c r="A357" s="189" t="str">
        <f ca="1">IFERROR(__xludf.DUMMYFUNCTION("""COMPUTED_VALUE"""),"DH")</f>
        <v>DH</v>
      </c>
      <c r="B357" s="195" t="str">
        <f ca="1">IFERROR(__xludf.DUMMYFUNCTION("""COMPUTED_VALUE"""),"Toby Chen")</f>
        <v>Toby Chen</v>
      </c>
      <c r="C357" s="189">
        <f ca="1">IFERROR(__xludf.DUMMYFUNCTION("""COMPUTED_VALUE"""),11)</f>
        <v>11</v>
      </c>
      <c r="D357" s="189" t="str">
        <f ca="1">IFERROR(__xludf.DUMMYFUNCTION("""COMPUTED_VALUE"""),"B")</f>
        <v>B</v>
      </c>
      <c r="E357" s="189" t="str">
        <f ca="1">IFERROR(__xludf.DUMMYFUNCTION("""COMPUTED_VALUE"""),"J")</f>
        <v>J</v>
      </c>
      <c r="F357" s="189" t="str">
        <f ca="1">IFERROR(__xludf.DUMMYFUNCTION("""COMPUTED_VALUE"""),"I")</f>
        <v>I</v>
      </c>
      <c r="G357" s="189">
        <f ca="1">IFERROR(__xludf.DUMMYFUNCTION("""COMPUTED_VALUE"""),2)</f>
        <v>2</v>
      </c>
      <c r="H357" s="196" t="s">
        <v>174</v>
      </c>
      <c r="I357" s="196"/>
      <c r="J357" s="196" t="s">
        <v>29</v>
      </c>
      <c r="K357" s="196"/>
      <c r="L357" s="196" t="str">
        <v xml:space="preserve"> 102.40</v>
      </c>
      <c r="M357" s="196"/>
    </row>
    <row r="358" spans="1:13" ht="14.4" x14ac:dyDescent="0.3">
      <c r="A358" s="189" t="str">
        <f ca="1">IFERROR(__xludf.DUMMYFUNCTION("""COMPUTED_VALUE"""),"DH")</f>
        <v>DH</v>
      </c>
      <c r="B358" s="195" t="str">
        <f ca="1">IFERROR(__xludf.DUMMYFUNCTION("""COMPUTED_VALUE"""),"Ellie Joyce")</f>
        <v>Ellie Joyce</v>
      </c>
      <c r="C358" s="189">
        <f ca="1">IFERROR(__xludf.DUMMYFUNCTION("""COMPUTED_VALUE"""),18)</f>
        <v>18</v>
      </c>
      <c r="D358" s="189" t="str">
        <f ca="1">IFERROR(__xludf.DUMMYFUNCTION("""COMPUTED_VALUE"""),"G")</f>
        <v>G</v>
      </c>
      <c r="E358" s="189" t="str">
        <f ca="1">IFERROR(__xludf.DUMMYFUNCTION("""COMPUTED_VALUE"""),"S")</f>
        <v>S</v>
      </c>
      <c r="F358" s="189" t="str">
        <f ca="1">IFERROR(__xludf.DUMMYFUNCTION("""COMPUTED_VALUE"""),"S")</f>
        <v>S</v>
      </c>
      <c r="G358" s="189">
        <f ca="1">IFERROR(__xludf.DUMMYFUNCTION("""COMPUTED_VALUE"""),2)</f>
        <v>2</v>
      </c>
      <c r="H358" s="196"/>
      <c r="I358" s="196"/>
      <c r="J358" s="196"/>
      <c r="K358" s="196"/>
      <c r="L358" s="196" t="str">
        <v/>
      </c>
      <c r="M358" s="196"/>
    </row>
    <row r="359" spans="1:13" ht="14.4" x14ac:dyDescent="0.3">
      <c r="A359" s="189" t="str">
        <f ca="1">IFERROR(__xludf.DUMMYFUNCTION("""COMPUTED_VALUE"""),"DH")</f>
        <v>DH</v>
      </c>
      <c r="B359" s="195" t="str">
        <f ca="1">IFERROR(__xludf.DUMMYFUNCTION("""COMPUTED_VALUE"""),"Leah Robbins")</f>
        <v>Leah Robbins</v>
      </c>
      <c r="C359" s="189">
        <f ca="1">IFERROR(__xludf.DUMMYFUNCTION("""COMPUTED_VALUE"""),16)</f>
        <v>16</v>
      </c>
      <c r="D359" s="189" t="str">
        <f ca="1">IFERROR(__xludf.DUMMYFUNCTION("""COMPUTED_VALUE"""),"G")</f>
        <v>G</v>
      </c>
      <c r="E359" s="189" t="str">
        <f ca="1">IFERROR(__xludf.DUMMYFUNCTION("""COMPUTED_VALUE"""),"S")</f>
        <v>S</v>
      </c>
      <c r="F359" s="189" t="str">
        <f ca="1">IFERROR(__xludf.DUMMYFUNCTION("""COMPUTED_VALUE"""),"S")</f>
        <v>S</v>
      </c>
      <c r="G359" s="189">
        <f ca="1">IFERROR(__xludf.DUMMYFUNCTION("""COMPUTED_VALUE"""),2)</f>
        <v>2</v>
      </c>
      <c r="H359" s="196"/>
      <c r="I359" s="196"/>
      <c r="J359" s="196"/>
      <c r="K359" s="196"/>
      <c r="L359" s="196" t="str">
        <v/>
      </c>
      <c r="M359" s="196"/>
    </row>
    <row r="360" spans="1:13" ht="14.4" x14ac:dyDescent="0.3">
      <c r="A360" s="189" t="str">
        <f ca="1">IFERROR(__xludf.DUMMYFUNCTION("""COMPUTED_VALUE"""),"DH")</f>
        <v>DH</v>
      </c>
      <c r="B360" s="195" t="str">
        <f ca="1">IFERROR(__xludf.DUMMYFUNCTION("""COMPUTED_VALUE"""),"Morgan Shelton")</f>
        <v>Morgan Shelton</v>
      </c>
      <c r="C360" s="189">
        <f ca="1">IFERROR(__xludf.DUMMYFUNCTION("""COMPUTED_VALUE"""),16)</f>
        <v>16</v>
      </c>
      <c r="D360" s="189" t="str">
        <f ca="1">IFERROR(__xludf.DUMMYFUNCTION("""COMPUTED_VALUE"""),"G")</f>
        <v>G</v>
      </c>
      <c r="E360" s="189" t="str">
        <f ca="1">IFERROR(__xludf.DUMMYFUNCTION("""COMPUTED_VALUE"""),"S")</f>
        <v>S</v>
      </c>
      <c r="F360" s="189" t="str">
        <f ca="1">IFERROR(__xludf.DUMMYFUNCTION("""COMPUTED_VALUE"""),"S")</f>
        <v>S</v>
      </c>
      <c r="G360" s="189">
        <f ca="1">IFERROR(__xludf.DUMMYFUNCTION("""COMPUTED_VALUE"""),2)</f>
        <v>2</v>
      </c>
      <c r="H360" s="196" t="s">
        <v>175</v>
      </c>
      <c r="I360" s="196"/>
      <c r="J360" s="196" t="s">
        <v>29</v>
      </c>
      <c r="K360" s="196"/>
      <c r="L360" s="196" t="str">
        <v xml:space="preserve"> 113.95</v>
      </c>
      <c r="M360" s="196"/>
    </row>
    <row r="361" spans="1:13" ht="14.4" x14ac:dyDescent="0.3">
      <c r="A361" s="189" t="str">
        <f ca="1">IFERROR(__xludf.DUMMYFUNCTION("""COMPUTED_VALUE"""),"DH")</f>
        <v>DH</v>
      </c>
      <c r="B361" s="195" t="str">
        <f ca="1">IFERROR(__xludf.DUMMYFUNCTION("""COMPUTED_VALUE"""),"Olivia Tighe")</f>
        <v>Olivia Tighe</v>
      </c>
      <c r="C361" s="189">
        <f ca="1">IFERROR(__xludf.DUMMYFUNCTION("""COMPUTED_VALUE"""),15)</f>
        <v>15</v>
      </c>
      <c r="D361" s="189" t="str">
        <f ca="1">IFERROR(__xludf.DUMMYFUNCTION("""COMPUTED_VALUE"""),"G")</f>
        <v>G</v>
      </c>
      <c r="E361" s="189" t="str">
        <f ca="1">IFERROR(__xludf.DUMMYFUNCTION("""COMPUTED_VALUE"""),"S")</f>
        <v>S</v>
      </c>
      <c r="F361" s="189" t="str">
        <f ca="1">IFERROR(__xludf.DUMMYFUNCTION("""COMPUTED_VALUE"""),"S")</f>
        <v>S</v>
      </c>
      <c r="G361" s="189">
        <f ca="1">IFERROR(__xludf.DUMMYFUNCTION("""COMPUTED_VALUE"""),2)</f>
        <v>2</v>
      </c>
      <c r="H361" s="196"/>
      <c r="I361" s="196"/>
      <c r="J361" s="196"/>
      <c r="K361" s="196"/>
      <c r="L361" s="196" t="str">
        <v/>
      </c>
      <c r="M361" s="196"/>
    </row>
    <row r="362" spans="1:13" ht="14.4" x14ac:dyDescent="0.3">
      <c r="A362" s="189" t="str">
        <f ca="1">IFERROR(__xludf.DUMMYFUNCTION("""COMPUTED_VALUE"""),"DH")</f>
        <v>DH</v>
      </c>
      <c r="B362" s="195" t="str">
        <f ca="1">IFERROR(__xludf.DUMMYFUNCTION("""COMPUTED_VALUE"""),"Paige Shelton")</f>
        <v>Paige Shelton</v>
      </c>
      <c r="C362" s="189">
        <f ca="1">IFERROR(__xludf.DUMMYFUNCTION("""COMPUTED_VALUE"""),17)</f>
        <v>17</v>
      </c>
      <c r="D362" s="189" t="str">
        <f ca="1">IFERROR(__xludf.DUMMYFUNCTION("""COMPUTED_VALUE"""),"G")</f>
        <v>G</v>
      </c>
      <c r="E362" s="189" t="str">
        <f ca="1">IFERROR(__xludf.DUMMYFUNCTION("""COMPUTED_VALUE"""),"S")</f>
        <v>S</v>
      </c>
      <c r="F362" s="189" t="str">
        <f ca="1">IFERROR(__xludf.DUMMYFUNCTION("""COMPUTED_VALUE"""),"S")</f>
        <v>S</v>
      </c>
      <c r="G362" s="189">
        <f ca="1">IFERROR(__xludf.DUMMYFUNCTION("""COMPUTED_VALUE"""),2)</f>
        <v>2</v>
      </c>
      <c r="H362" s="196" t="s">
        <v>176</v>
      </c>
      <c r="I362" s="196"/>
      <c r="J362" s="196" t="s">
        <v>29</v>
      </c>
      <c r="K362" s="196"/>
      <c r="L362" s="196" t="str">
        <v xml:space="preserve"> 120.15</v>
      </c>
      <c r="M362" s="196"/>
    </row>
    <row r="363" spans="1:13" ht="14.4" x14ac:dyDescent="0.3">
      <c r="A363" s="189" t="str">
        <f ca="1">IFERROR(__xludf.DUMMYFUNCTION("""COMPUTED_VALUE"""),"DH")</f>
        <v>DH</v>
      </c>
      <c r="B363" s="195" t="str">
        <f ca="1">IFERROR(__xludf.DUMMYFUNCTION("""COMPUTED_VALUE"""),"Charlie Gent")</f>
        <v>Charlie Gent</v>
      </c>
      <c r="C363" s="189">
        <f ca="1">IFERROR(__xludf.DUMMYFUNCTION("""COMPUTED_VALUE"""),16)</f>
        <v>16</v>
      </c>
      <c r="D363" s="189" t="str">
        <f ca="1">IFERROR(__xludf.DUMMYFUNCTION("""COMPUTED_VALUE"""),"B")</f>
        <v>B</v>
      </c>
      <c r="E363" s="189" t="str">
        <f ca="1">IFERROR(__xludf.DUMMYFUNCTION("""COMPUTED_VALUE"""),"S")</f>
        <v>S</v>
      </c>
      <c r="F363" s="189" t="str">
        <f ca="1">IFERROR(__xludf.DUMMYFUNCTION("""COMPUTED_VALUE"""),"S")</f>
        <v>S</v>
      </c>
      <c r="G363" s="189">
        <f ca="1">IFERROR(__xludf.DUMMYFUNCTION("""COMPUTED_VALUE"""),2)</f>
        <v>2</v>
      </c>
      <c r="H363" s="196" t="s">
        <v>177</v>
      </c>
      <c r="I363" s="196"/>
      <c r="J363" s="196" t="s">
        <v>29</v>
      </c>
      <c r="K363" s="196"/>
      <c r="L363" s="196" t="str">
        <v xml:space="preserve"> 161.40</v>
      </c>
      <c r="M363" s="196"/>
    </row>
    <row r="364" spans="1:13" ht="14.4" x14ac:dyDescent="0.3">
      <c r="A364" s="189" t="str">
        <f ca="1">IFERROR(__xludf.DUMMYFUNCTION("""COMPUTED_VALUE"""),"DH")</f>
        <v>DH</v>
      </c>
      <c r="B364" s="195" t="str">
        <f ca="1">IFERROR(__xludf.DUMMYFUNCTION("""COMPUTED_VALUE"""),"Joseph Nixon")</f>
        <v>Joseph Nixon</v>
      </c>
      <c r="C364" s="189">
        <f ca="1">IFERROR(__xludf.DUMMYFUNCTION("""COMPUTED_VALUE"""),18)</f>
        <v>18</v>
      </c>
      <c r="D364" s="189" t="str">
        <f ca="1">IFERROR(__xludf.DUMMYFUNCTION("""COMPUTED_VALUE"""),"B")</f>
        <v>B</v>
      </c>
      <c r="E364" s="189" t="str">
        <f ca="1">IFERROR(__xludf.DUMMYFUNCTION("""COMPUTED_VALUE"""),"S")</f>
        <v>S</v>
      </c>
      <c r="F364" s="189" t="str">
        <f ca="1">IFERROR(__xludf.DUMMYFUNCTION("""COMPUTED_VALUE"""),"S")</f>
        <v>S</v>
      </c>
      <c r="G364" s="189">
        <f ca="1">IFERROR(__xludf.DUMMYFUNCTION("""COMPUTED_VALUE"""),2)</f>
        <v>2</v>
      </c>
      <c r="H364" s="196" t="s">
        <v>178</v>
      </c>
      <c r="I364" s="196"/>
      <c r="J364" s="196" t="s">
        <v>29</v>
      </c>
      <c r="K364" s="196"/>
      <c r="L364" s="196" t="str">
        <v xml:space="preserve"> 142.65</v>
      </c>
      <c r="M364" s="196"/>
    </row>
    <row r="365" spans="1:13" ht="14.4" x14ac:dyDescent="0.3">
      <c r="A365" s="189" t="str">
        <f ca="1">IFERROR(__xludf.DUMMYFUNCTION("""COMPUTED_VALUE"""),"DL")</f>
        <v>DL</v>
      </c>
      <c r="B365" s="195" t="str">
        <f ca="1">IFERROR(__xludf.DUMMYFUNCTION("""COMPUTED_VALUE"""),"Alessandra Falsone")</f>
        <v>Alessandra Falsone</v>
      </c>
      <c r="C365" s="189">
        <f ca="1">IFERROR(__xludf.DUMMYFUNCTION("""COMPUTED_VALUE"""),7)</f>
        <v>7</v>
      </c>
      <c r="D365" s="189" t="str">
        <f ca="1">IFERROR(__xludf.DUMMYFUNCTION("""COMPUTED_VALUE"""),"G")</f>
        <v>G</v>
      </c>
      <c r="E365" s="189" t="str">
        <f ca="1">IFERROR(__xludf.DUMMYFUNCTION("""COMPUTED_VALUE"""),"F")</f>
        <v>F</v>
      </c>
      <c r="F365" s="189" t="str">
        <f ca="1">IFERROR(__xludf.DUMMYFUNCTION("""COMPUTED_VALUE"""),"J")</f>
        <v>J</v>
      </c>
      <c r="G365" s="189">
        <f ca="1">IFERROR(__xludf.DUMMYFUNCTION("""COMPUTED_VALUE"""),3)</f>
        <v>3</v>
      </c>
      <c r="H365" s="196"/>
      <c r="I365" s="196"/>
      <c r="J365" s="196"/>
      <c r="K365" s="196"/>
      <c r="L365" s="196" t="str">
        <v/>
      </c>
      <c r="M365" s="196"/>
    </row>
    <row r="366" spans="1:13" ht="14.4" x14ac:dyDescent="0.3">
      <c r="A366" s="189" t="str">
        <f ca="1">IFERROR(__xludf.DUMMYFUNCTION("""COMPUTED_VALUE"""),"DL")</f>
        <v>DL</v>
      </c>
      <c r="B366" s="195" t="str">
        <f ca="1">IFERROR(__xludf.DUMMYFUNCTION("""COMPUTED_VALUE"""),"Bella DeSando")</f>
        <v>Bella DeSando</v>
      </c>
      <c r="C366" s="189">
        <f ca="1">IFERROR(__xludf.DUMMYFUNCTION("""COMPUTED_VALUE"""),9)</f>
        <v>9</v>
      </c>
      <c r="D366" s="189" t="str">
        <f ca="1">IFERROR(__xludf.DUMMYFUNCTION("""COMPUTED_VALUE"""),"G")</f>
        <v>G</v>
      </c>
      <c r="E366" s="189" t="str">
        <f ca="1">IFERROR(__xludf.DUMMYFUNCTION("""COMPUTED_VALUE"""),"F")</f>
        <v>F</v>
      </c>
      <c r="F366" s="189" t="str">
        <f ca="1">IFERROR(__xludf.DUMMYFUNCTION("""COMPUTED_VALUE"""),"J")</f>
        <v>J</v>
      </c>
      <c r="G366" s="189">
        <f ca="1">IFERROR(__xludf.DUMMYFUNCTION("""COMPUTED_VALUE"""),3)</f>
        <v>3</v>
      </c>
      <c r="H366" s="196" t="s">
        <v>179</v>
      </c>
      <c r="I366" s="196"/>
      <c r="J366" s="196" t="s">
        <v>29</v>
      </c>
      <c r="K366" s="196"/>
      <c r="L366" s="196" t="str">
        <v xml:space="preserve"> 64.90</v>
      </c>
      <c r="M366" s="196"/>
    </row>
    <row r="367" spans="1:13" ht="14.4" x14ac:dyDescent="0.3">
      <c r="A367" s="189" t="str">
        <f ca="1">IFERROR(__xludf.DUMMYFUNCTION("""COMPUTED_VALUE"""),"DL")</f>
        <v>DL</v>
      </c>
      <c r="B367" s="195" t="str">
        <f ca="1">IFERROR(__xludf.DUMMYFUNCTION("""COMPUTED_VALUE"""),"Carina Bosco")</f>
        <v>Carina Bosco</v>
      </c>
      <c r="C367" s="189">
        <f ca="1">IFERROR(__xludf.DUMMYFUNCTION("""COMPUTED_VALUE"""),9)</f>
        <v>9</v>
      </c>
      <c r="D367" s="189" t="str">
        <f ca="1">IFERROR(__xludf.DUMMYFUNCTION("""COMPUTED_VALUE"""),"G")</f>
        <v>G</v>
      </c>
      <c r="E367" s="189" t="str">
        <f ca="1">IFERROR(__xludf.DUMMYFUNCTION("""COMPUTED_VALUE"""),"F")</f>
        <v>F</v>
      </c>
      <c r="F367" s="189" t="str">
        <f ca="1">IFERROR(__xludf.DUMMYFUNCTION("""COMPUTED_VALUE"""),"J")</f>
        <v>J</v>
      </c>
      <c r="G367" s="189">
        <f ca="1">IFERROR(__xludf.DUMMYFUNCTION("""COMPUTED_VALUE"""),3)</f>
        <v>3</v>
      </c>
      <c r="H367" s="196" t="s">
        <v>180</v>
      </c>
      <c r="I367" s="196"/>
      <c r="J367" s="196" t="s">
        <v>29</v>
      </c>
      <c r="K367" s="196"/>
      <c r="L367" s="196" t="str">
        <v xml:space="preserve"> 49.45</v>
      </c>
      <c r="M367" s="196"/>
    </row>
    <row r="368" spans="1:13" ht="14.4" x14ac:dyDescent="0.3">
      <c r="A368" s="189" t="str">
        <f ca="1">IFERROR(__xludf.DUMMYFUNCTION("""COMPUTED_VALUE"""),"DL")</f>
        <v>DL</v>
      </c>
      <c r="B368" s="195" t="str">
        <f ca="1">IFERROR(__xludf.DUMMYFUNCTION("""COMPUTED_VALUE"""),"Charlotte Kluttz")</f>
        <v>Charlotte Kluttz</v>
      </c>
      <c r="C368" s="189">
        <f ca="1">IFERROR(__xludf.DUMMYFUNCTION("""COMPUTED_VALUE"""),6)</f>
        <v>6</v>
      </c>
      <c r="D368" s="189" t="str">
        <f ca="1">IFERROR(__xludf.DUMMYFUNCTION("""COMPUTED_VALUE"""),"G")</f>
        <v>G</v>
      </c>
      <c r="E368" s="189" t="str">
        <f ca="1">IFERROR(__xludf.DUMMYFUNCTION("""COMPUTED_VALUE"""),"F")</f>
        <v>F</v>
      </c>
      <c r="F368" s="189" t="str">
        <f ca="1">IFERROR(__xludf.DUMMYFUNCTION("""COMPUTED_VALUE"""),"J")</f>
        <v>J</v>
      </c>
      <c r="G368" s="189">
        <f ca="1">IFERROR(__xludf.DUMMYFUNCTION("""COMPUTED_VALUE"""),3)</f>
        <v>3</v>
      </c>
      <c r="H368" s="196" t="s">
        <v>181</v>
      </c>
      <c r="I368" s="196"/>
      <c r="J368" s="196" t="s">
        <v>29</v>
      </c>
      <c r="K368" s="196"/>
      <c r="L368" s="196" t="str">
        <v xml:space="preserve"> 33.10</v>
      </c>
      <c r="M368" s="196"/>
    </row>
    <row r="369" spans="1:13" ht="14.4" x14ac:dyDescent="0.3">
      <c r="A369" s="189" t="str">
        <f ca="1">IFERROR(__xludf.DUMMYFUNCTION("""COMPUTED_VALUE"""),"DL")</f>
        <v>DL</v>
      </c>
      <c r="B369" s="195" t="str">
        <f ca="1">IFERROR(__xludf.DUMMYFUNCTION("""COMPUTED_VALUE"""),"Elise Esquivel")</f>
        <v>Elise Esquivel</v>
      </c>
      <c r="C369" s="189">
        <f ca="1">IFERROR(__xludf.DUMMYFUNCTION("""COMPUTED_VALUE"""),10)</f>
        <v>10</v>
      </c>
      <c r="D369" s="189" t="str">
        <f ca="1">IFERROR(__xludf.DUMMYFUNCTION("""COMPUTED_VALUE"""),"G")</f>
        <v>G</v>
      </c>
      <c r="E369" s="189" t="str">
        <f ca="1">IFERROR(__xludf.DUMMYFUNCTION("""COMPUTED_VALUE"""),"F")</f>
        <v>F</v>
      </c>
      <c r="F369" s="189" t="str">
        <f ca="1">IFERROR(__xludf.DUMMYFUNCTION("""COMPUTED_VALUE"""),"J")</f>
        <v>J</v>
      </c>
      <c r="G369" s="189">
        <f ca="1">IFERROR(__xludf.DUMMYFUNCTION("""COMPUTED_VALUE"""),3)</f>
        <v>3</v>
      </c>
      <c r="H369" s="196" t="s">
        <v>182</v>
      </c>
      <c r="I369" s="196"/>
      <c r="J369" s="196" t="s">
        <v>29</v>
      </c>
      <c r="K369" s="196"/>
      <c r="L369" s="196" t="str">
        <v xml:space="preserve"> 55.45</v>
      </c>
      <c r="M369" s="196"/>
    </row>
    <row r="370" spans="1:13" ht="14.4" x14ac:dyDescent="0.3">
      <c r="A370" s="189" t="str">
        <f ca="1">IFERROR(__xludf.DUMMYFUNCTION("""COMPUTED_VALUE"""),"DL")</f>
        <v>DL</v>
      </c>
      <c r="B370" s="195" t="str">
        <f ca="1">IFERROR(__xludf.DUMMYFUNCTION("""COMPUTED_VALUE"""),"Elizabeth Andrews")</f>
        <v>Elizabeth Andrews</v>
      </c>
      <c r="C370" s="189">
        <f ca="1">IFERROR(__xludf.DUMMYFUNCTION("""COMPUTED_VALUE"""),8)</f>
        <v>8</v>
      </c>
      <c r="D370" s="189" t="str">
        <f ca="1">IFERROR(__xludf.DUMMYFUNCTION("""COMPUTED_VALUE"""),"G")</f>
        <v>G</v>
      </c>
      <c r="E370" s="189" t="str">
        <f ca="1">IFERROR(__xludf.DUMMYFUNCTION("""COMPUTED_VALUE"""),"F")</f>
        <v>F</v>
      </c>
      <c r="F370" s="189" t="str">
        <f ca="1">IFERROR(__xludf.DUMMYFUNCTION("""COMPUTED_VALUE"""),"J")</f>
        <v>J</v>
      </c>
      <c r="G370" s="189">
        <f ca="1">IFERROR(__xludf.DUMMYFUNCTION("""COMPUTED_VALUE"""),3)</f>
        <v>3</v>
      </c>
      <c r="H370" s="196"/>
      <c r="I370" s="196"/>
      <c r="J370" s="196"/>
      <c r="K370" s="196"/>
      <c r="L370" s="196" t="str">
        <v/>
      </c>
      <c r="M370" s="196"/>
    </row>
    <row r="371" spans="1:13" ht="14.4" x14ac:dyDescent="0.3">
      <c r="A371" s="189" t="str">
        <f ca="1">IFERROR(__xludf.DUMMYFUNCTION("""COMPUTED_VALUE"""),"DL")</f>
        <v>DL</v>
      </c>
      <c r="B371" s="195" t="str">
        <f ca="1">IFERROR(__xludf.DUMMYFUNCTION("""COMPUTED_VALUE"""),"Isabella Falsone")</f>
        <v>Isabella Falsone</v>
      </c>
      <c r="C371" s="189">
        <f ca="1">IFERROR(__xludf.DUMMYFUNCTION("""COMPUTED_VALUE"""),9)</f>
        <v>9</v>
      </c>
      <c r="D371" s="189" t="str">
        <f ca="1">IFERROR(__xludf.DUMMYFUNCTION("""COMPUTED_VALUE"""),"G")</f>
        <v>G</v>
      </c>
      <c r="E371" s="189" t="str">
        <f ca="1">IFERROR(__xludf.DUMMYFUNCTION("""COMPUTED_VALUE"""),"F")</f>
        <v>F</v>
      </c>
      <c r="F371" s="189" t="str">
        <f ca="1">IFERROR(__xludf.DUMMYFUNCTION("""COMPUTED_VALUE"""),"J")</f>
        <v>J</v>
      </c>
      <c r="G371" s="189">
        <f ca="1">IFERROR(__xludf.DUMMYFUNCTION("""COMPUTED_VALUE"""),3)</f>
        <v>3</v>
      </c>
      <c r="H371" s="196"/>
      <c r="I371" s="196"/>
      <c r="J371" s="196"/>
      <c r="K371" s="196"/>
      <c r="L371" s="196" t="str">
        <v/>
      </c>
      <c r="M371" s="196"/>
    </row>
    <row r="372" spans="1:13" ht="14.4" x14ac:dyDescent="0.3">
      <c r="A372" s="189" t="str">
        <f ca="1">IFERROR(__xludf.DUMMYFUNCTION("""COMPUTED_VALUE"""),"DL")</f>
        <v>DL</v>
      </c>
      <c r="B372" s="195" t="str">
        <f ca="1">IFERROR(__xludf.DUMMYFUNCTION("""COMPUTED_VALUE"""),"Mariella Oelrich")</f>
        <v>Mariella Oelrich</v>
      </c>
      <c r="C372" s="189">
        <f ca="1">IFERROR(__xludf.DUMMYFUNCTION("""COMPUTED_VALUE"""),9)</f>
        <v>9</v>
      </c>
      <c r="D372" s="189" t="str">
        <f ca="1">IFERROR(__xludf.DUMMYFUNCTION("""COMPUTED_VALUE"""),"G")</f>
        <v>G</v>
      </c>
      <c r="E372" s="189" t="str">
        <f ca="1">IFERROR(__xludf.DUMMYFUNCTION("""COMPUTED_VALUE"""),"F")</f>
        <v>F</v>
      </c>
      <c r="F372" s="189" t="str">
        <f ca="1">IFERROR(__xludf.DUMMYFUNCTION("""COMPUTED_VALUE"""),"J")</f>
        <v>J</v>
      </c>
      <c r="G372" s="189">
        <f ca="1">IFERROR(__xludf.DUMMYFUNCTION("""COMPUTED_VALUE"""),3)</f>
        <v>3</v>
      </c>
      <c r="H372" s="196"/>
      <c r="I372" s="196"/>
      <c r="J372" s="196"/>
      <c r="K372" s="196"/>
      <c r="L372" s="196" t="str">
        <v/>
      </c>
      <c r="M372" s="196"/>
    </row>
    <row r="373" spans="1:13" ht="14.4" x14ac:dyDescent="0.3">
      <c r="A373" s="189" t="str">
        <f ca="1">IFERROR(__xludf.DUMMYFUNCTION("""COMPUTED_VALUE"""),"DL")</f>
        <v>DL</v>
      </c>
      <c r="B373" s="195" t="str">
        <f ca="1">IFERROR(__xludf.DUMMYFUNCTION("""COMPUTED_VALUE"""),"Maya Weidner")</f>
        <v>Maya Weidner</v>
      </c>
      <c r="C373" s="189">
        <f ca="1">IFERROR(__xludf.DUMMYFUNCTION("""COMPUTED_VALUE"""),8)</f>
        <v>8</v>
      </c>
      <c r="D373" s="189" t="str">
        <f ca="1">IFERROR(__xludf.DUMMYFUNCTION("""COMPUTED_VALUE"""),"G")</f>
        <v>G</v>
      </c>
      <c r="E373" s="189" t="str">
        <f ca="1">IFERROR(__xludf.DUMMYFUNCTION("""COMPUTED_VALUE"""),"F")</f>
        <v>F</v>
      </c>
      <c r="F373" s="189" t="str">
        <f ca="1">IFERROR(__xludf.DUMMYFUNCTION("""COMPUTED_VALUE"""),"J")</f>
        <v>J</v>
      </c>
      <c r="G373" s="189">
        <f ca="1">IFERROR(__xludf.DUMMYFUNCTION("""COMPUTED_VALUE"""),3)</f>
        <v>3</v>
      </c>
      <c r="H373" s="196"/>
      <c r="I373" s="196"/>
      <c r="J373" s="196"/>
      <c r="K373" s="196"/>
      <c r="L373" s="196" t="str">
        <v/>
      </c>
      <c r="M373" s="196"/>
    </row>
    <row r="374" spans="1:13" ht="14.4" x14ac:dyDescent="0.3">
      <c r="A374" s="189" t="str">
        <f ca="1">IFERROR(__xludf.DUMMYFUNCTION("""COMPUTED_VALUE"""),"DL")</f>
        <v>DL</v>
      </c>
      <c r="B374" s="195" t="str">
        <f ca="1">IFERROR(__xludf.DUMMYFUNCTION("""COMPUTED_VALUE"""),"Mia Mroz")</f>
        <v>Mia Mroz</v>
      </c>
      <c r="C374" s="189">
        <f ca="1">IFERROR(__xludf.DUMMYFUNCTION("""COMPUTED_VALUE"""),5)</f>
        <v>5</v>
      </c>
      <c r="D374" s="189" t="str">
        <f ca="1">IFERROR(__xludf.DUMMYFUNCTION("""COMPUTED_VALUE"""),"G")</f>
        <v>G</v>
      </c>
      <c r="E374" s="189" t="str">
        <f ca="1">IFERROR(__xludf.DUMMYFUNCTION("""COMPUTED_VALUE"""),"F")</f>
        <v>F</v>
      </c>
      <c r="F374" s="189" t="str">
        <f ca="1">IFERROR(__xludf.DUMMYFUNCTION("""COMPUTED_VALUE"""),"J")</f>
        <v>J</v>
      </c>
      <c r="G374" s="189">
        <f ca="1">IFERROR(__xludf.DUMMYFUNCTION("""COMPUTED_VALUE"""),3)</f>
        <v>3</v>
      </c>
      <c r="H374" s="196"/>
      <c r="I374" s="196"/>
      <c r="J374" s="196"/>
      <c r="K374" s="196"/>
      <c r="L374" s="196" t="str">
        <v/>
      </c>
      <c r="M374" s="196"/>
    </row>
    <row r="375" spans="1:13" ht="14.4" x14ac:dyDescent="0.3">
      <c r="A375" s="189" t="str">
        <f ca="1">IFERROR(__xludf.DUMMYFUNCTION("""COMPUTED_VALUE"""),"DL")</f>
        <v>DL</v>
      </c>
      <c r="B375" s="195" t="str">
        <f ca="1">IFERROR(__xludf.DUMMYFUNCTION("""COMPUTED_VALUE"""),"Sawyer Palmby")</f>
        <v>Sawyer Palmby</v>
      </c>
      <c r="C375" s="189">
        <f ca="1">IFERROR(__xludf.DUMMYFUNCTION("""COMPUTED_VALUE"""),9)</f>
        <v>9</v>
      </c>
      <c r="D375" s="189" t="str">
        <f ca="1">IFERROR(__xludf.DUMMYFUNCTION("""COMPUTED_VALUE"""),"G")</f>
        <v>G</v>
      </c>
      <c r="E375" s="189" t="str">
        <f ca="1">IFERROR(__xludf.DUMMYFUNCTION("""COMPUTED_VALUE"""),"F")</f>
        <v>F</v>
      </c>
      <c r="F375" s="189" t="str">
        <f ca="1">IFERROR(__xludf.DUMMYFUNCTION("""COMPUTED_VALUE"""),"J")</f>
        <v>J</v>
      </c>
      <c r="G375" s="189">
        <f ca="1">IFERROR(__xludf.DUMMYFUNCTION("""COMPUTED_VALUE"""),3)</f>
        <v>3</v>
      </c>
      <c r="H375" s="196"/>
      <c r="I375" s="196"/>
      <c r="J375" s="196"/>
      <c r="K375" s="196"/>
      <c r="L375" s="196" t="str">
        <v/>
      </c>
      <c r="M375" s="196"/>
    </row>
    <row r="376" spans="1:13" ht="14.4" x14ac:dyDescent="0.3">
      <c r="A376" s="189" t="str">
        <f ca="1">IFERROR(__xludf.DUMMYFUNCTION("""COMPUTED_VALUE"""),"DL")</f>
        <v>DL</v>
      </c>
      <c r="B376" s="195" t="str">
        <f ca="1">IFERROR(__xludf.DUMMYFUNCTION("""COMPUTED_VALUE"""),"Stella Baldeon Masturzo")</f>
        <v>Stella Baldeon Masturzo</v>
      </c>
      <c r="C376" s="189">
        <f ca="1">IFERROR(__xludf.DUMMYFUNCTION("""COMPUTED_VALUE"""),10)</f>
        <v>10</v>
      </c>
      <c r="D376" s="189" t="str">
        <f ca="1">IFERROR(__xludf.DUMMYFUNCTION("""COMPUTED_VALUE"""),"G")</f>
        <v>G</v>
      </c>
      <c r="E376" s="189" t="str">
        <f ca="1">IFERROR(__xludf.DUMMYFUNCTION("""COMPUTED_VALUE"""),"F")</f>
        <v>F</v>
      </c>
      <c r="F376" s="189" t="str">
        <f ca="1">IFERROR(__xludf.DUMMYFUNCTION("""COMPUTED_VALUE"""),"J")</f>
        <v>J</v>
      </c>
      <c r="G376" s="189">
        <f ca="1">IFERROR(__xludf.DUMMYFUNCTION("""COMPUTED_VALUE"""),3)</f>
        <v>3</v>
      </c>
      <c r="H376" s="196" t="s">
        <v>183</v>
      </c>
      <c r="I376" s="196"/>
      <c r="J376" s="196" t="s">
        <v>29</v>
      </c>
      <c r="K376" s="196"/>
      <c r="L376" s="196" t="str">
        <v xml:space="preserve"> 68.55</v>
      </c>
      <c r="M376" s="196"/>
    </row>
    <row r="377" spans="1:13" ht="14.4" x14ac:dyDescent="0.3">
      <c r="A377" s="189" t="str">
        <f ca="1">IFERROR(__xludf.DUMMYFUNCTION("""COMPUTED_VALUE"""),"DL")</f>
        <v>DL</v>
      </c>
      <c r="B377" s="195" t="str">
        <f ca="1">IFERROR(__xludf.DUMMYFUNCTION("""COMPUTED_VALUE"""),"Zoe Mroz")</f>
        <v>Zoe Mroz</v>
      </c>
      <c r="C377" s="189">
        <f ca="1">IFERROR(__xludf.DUMMYFUNCTION("""COMPUTED_VALUE"""),7)</f>
        <v>7</v>
      </c>
      <c r="D377" s="189" t="str">
        <f ca="1">IFERROR(__xludf.DUMMYFUNCTION("""COMPUTED_VALUE"""),"G")</f>
        <v>G</v>
      </c>
      <c r="E377" s="189" t="str">
        <f ca="1">IFERROR(__xludf.DUMMYFUNCTION("""COMPUTED_VALUE"""),"F")</f>
        <v>F</v>
      </c>
      <c r="F377" s="189" t="str">
        <f ca="1">IFERROR(__xludf.DUMMYFUNCTION("""COMPUTED_VALUE"""),"J")</f>
        <v>J</v>
      </c>
      <c r="G377" s="189">
        <f ca="1">IFERROR(__xludf.DUMMYFUNCTION("""COMPUTED_VALUE"""),3)</f>
        <v>3</v>
      </c>
      <c r="H377" s="196"/>
      <c r="I377" s="196"/>
      <c r="J377" s="196"/>
      <c r="K377" s="196"/>
      <c r="L377" s="196" t="str">
        <v/>
      </c>
      <c r="M377" s="196"/>
    </row>
    <row r="378" spans="1:13" ht="14.4" x14ac:dyDescent="0.3">
      <c r="A378" s="189" t="str">
        <f ca="1">IFERROR(__xludf.DUMMYFUNCTION("""COMPUTED_VALUE"""),"DL")</f>
        <v>DL</v>
      </c>
      <c r="B378" s="195" t="str">
        <f ca="1">IFERROR(__xludf.DUMMYFUNCTION("""COMPUTED_VALUE"""),"Ezra Sherer")</f>
        <v>Ezra Sherer</v>
      </c>
      <c r="C378" s="189">
        <f ca="1">IFERROR(__xludf.DUMMYFUNCTION("""COMPUTED_VALUE"""),9)</f>
        <v>9</v>
      </c>
      <c r="D378" s="189" t="str">
        <f ca="1">IFERROR(__xludf.DUMMYFUNCTION("""COMPUTED_VALUE"""),"B")</f>
        <v>B</v>
      </c>
      <c r="E378" s="189" t="str">
        <f ca="1">IFERROR(__xludf.DUMMYFUNCTION("""COMPUTED_VALUE"""),"F")</f>
        <v>F</v>
      </c>
      <c r="F378" s="189" t="str">
        <f ca="1">IFERROR(__xludf.DUMMYFUNCTION("""COMPUTED_VALUE"""),"J")</f>
        <v>J</v>
      </c>
      <c r="G378" s="189">
        <f ca="1">IFERROR(__xludf.DUMMYFUNCTION("""COMPUTED_VALUE"""),3)</f>
        <v>3</v>
      </c>
      <c r="H378" s="196"/>
      <c r="I378" s="196"/>
      <c r="J378" s="196"/>
      <c r="K378" s="196"/>
      <c r="L378" s="196" t="str">
        <v/>
      </c>
      <c r="M378" s="196"/>
    </row>
    <row r="379" spans="1:13" ht="14.4" x14ac:dyDescent="0.3">
      <c r="A379" s="189" t="str">
        <f ca="1">IFERROR(__xludf.DUMMYFUNCTION("""COMPUTED_VALUE"""),"DL")</f>
        <v>DL</v>
      </c>
      <c r="B379" s="195" t="str">
        <f ca="1">IFERROR(__xludf.DUMMYFUNCTION("""COMPUTED_VALUE"""),"Ryan Linegang")</f>
        <v>Ryan Linegang</v>
      </c>
      <c r="C379" s="189">
        <f ca="1">IFERROR(__xludf.DUMMYFUNCTION("""COMPUTED_VALUE"""),10)</f>
        <v>10</v>
      </c>
      <c r="D379" s="189" t="str">
        <f ca="1">IFERROR(__xludf.DUMMYFUNCTION("""COMPUTED_VALUE"""),"B")</f>
        <v>B</v>
      </c>
      <c r="E379" s="189" t="str">
        <f ca="1">IFERROR(__xludf.DUMMYFUNCTION("""COMPUTED_VALUE"""),"F")</f>
        <v>F</v>
      </c>
      <c r="F379" s="189" t="str">
        <f ca="1">IFERROR(__xludf.DUMMYFUNCTION("""COMPUTED_VALUE"""),"J")</f>
        <v>J</v>
      </c>
      <c r="G379" s="189">
        <f ca="1">IFERROR(__xludf.DUMMYFUNCTION("""COMPUTED_VALUE"""),3)</f>
        <v>3</v>
      </c>
      <c r="H379" s="196" t="s">
        <v>184</v>
      </c>
      <c r="I379" s="196"/>
      <c r="J379" s="196" t="s">
        <v>29</v>
      </c>
      <c r="K379" s="196"/>
      <c r="L379" s="196" t="str">
        <v xml:space="preserve"> 50.75</v>
      </c>
      <c r="M379" s="196"/>
    </row>
    <row r="380" spans="1:13" ht="14.4" x14ac:dyDescent="0.3">
      <c r="A380" s="189" t="str">
        <f ca="1">IFERROR(__xludf.DUMMYFUNCTION("""COMPUTED_VALUE"""),"DL")</f>
        <v>DL</v>
      </c>
      <c r="B380" s="195" t="str">
        <f ca="1">IFERROR(__xludf.DUMMYFUNCTION("""COMPUTED_VALUE"""),"Salvatore Matias")</f>
        <v>Salvatore Matias</v>
      </c>
      <c r="C380" s="189">
        <f ca="1">IFERROR(__xludf.DUMMYFUNCTION("""COMPUTED_VALUE"""),10)</f>
        <v>10</v>
      </c>
      <c r="D380" s="189" t="str">
        <f ca="1">IFERROR(__xludf.DUMMYFUNCTION("""COMPUTED_VALUE"""),"B")</f>
        <v>B</v>
      </c>
      <c r="E380" s="189" t="str">
        <f ca="1">IFERROR(__xludf.DUMMYFUNCTION("""COMPUTED_VALUE"""),"F")</f>
        <v>F</v>
      </c>
      <c r="F380" s="189" t="str">
        <f ca="1">IFERROR(__xludf.DUMMYFUNCTION("""COMPUTED_VALUE"""),"J")</f>
        <v>J</v>
      </c>
      <c r="G380" s="189">
        <f ca="1">IFERROR(__xludf.DUMMYFUNCTION("""COMPUTED_VALUE"""),3)</f>
        <v>3</v>
      </c>
      <c r="H380" s="196"/>
      <c r="I380" s="196"/>
      <c r="J380" s="196"/>
      <c r="K380" s="196"/>
      <c r="L380" s="196" t="str">
        <v/>
      </c>
      <c r="M380" s="196"/>
    </row>
    <row r="381" spans="1:13" ht="14.4" x14ac:dyDescent="0.3">
      <c r="A381" s="189" t="str">
        <f ca="1">IFERROR(__xludf.DUMMYFUNCTION("""COMPUTED_VALUE"""),"DL")</f>
        <v>DL</v>
      </c>
      <c r="B381" s="195" t="str">
        <f ca="1">IFERROR(__xludf.DUMMYFUNCTION("""COMPUTED_VALUE"""),"Theodore Brewer")</f>
        <v>Theodore Brewer</v>
      </c>
      <c r="C381" s="189">
        <f ca="1">IFERROR(__xludf.DUMMYFUNCTION("""COMPUTED_VALUE"""),9)</f>
        <v>9</v>
      </c>
      <c r="D381" s="189" t="str">
        <f ca="1">IFERROR(__xludf.DUMMYFUNCTION("""COMPUTED_VALUE"""),"B")</f>
        <v>B</v>
      </c>
      <c r="E381" s="189" t="str">
        <f ca="1">IFERROR(__xludf.DUMMYFUNCTION("""COMPUTED_VALUE"""),"F")</f>
        <v>F</v>
      </c>
      <c r="F381" s="189" t="str">
        <f ca="1">IFERROR(__xludf.DUMMYFUNCTION("""COMPUTED_VALUE"""),"J")</f>
        <v>J</v>
      </c>
      <c r="G381" s="189">
        <f ca="1">IFERROR(__xludf.DUMMYFUNCTION("""COMPUTED_VALUE"""),3)</f>
        <v>3</v>
      </c>
      <c r="H381" s="196" t="s">
        <v>185</v>
      </c>
      <c r="I381" s="196"/>
      <c r="J381" s="196" t="s">
        <v>29</v>
      </c>
      <c r="K381" s="196"/>
      <c r="L381" s="196" t="str">
        <v xml:space="preserve"> 32.40</v>
      </c>
      <c r="M381" s="196"/>
    </row>
    <row r="382" spans="1:13" ht="14.4" x14ac:dyDescent="0.3">
      <c r="A382" s="189" t="str">
        <f ca="1">IFERROR(__xludf.DUMMYFUNCTION("""COMPUTED_VALUE"""),"DL")</f>
        <v>DL</v>
      </c>
      <c r="B382" s="195" t="str">
        <f ca="1">IFERROR(__xludf.DUMMYFUNCTION("""COMPUTED_VALUE"""),"Zak Kolonda")</f>
        <v>Zak Kolonda</v>
      </c>
      <c r="C382" s="189">
        <f ca="1">IFERROR(__xludf.DUMMYFUNCTION("""COMPUTED_VALUE"""),7)</f>
        <v>7</v>
      </c>
      <c r="D382" s="189" t="str">
        <f ca="1">IFERROR(__xludf.DUMMYFUNCTION("""COMPUTED_VALUE"""),"B")</f>
        <v>B</v>
      </c>
      <c r="E382" s="189" t="str">
        <f ca="1">IFERROR(__xludf.DUMMYFUNCTION("""COMPUTED_VALUE"""),"F")</f>
        <v>F</v>
      </c>
      <c r="F382" s="189" t="str">
        <f ca="1">IFERROR(__xludf.DUMMYFUNCTION("""COMPUTED_VALUE"""),"J")</f>
        <v>J</v>
      </c>
      <c r="G382" s="189">
        <f ca="1">IFERROR(__xludf.DUMMYFUNCTION("""COMPUTED_VALUE"""),3)</f>
        <v>3</v>
      </c>
      <c r="H382" s="196"/>
      <c r="I382" s="196"/>
      <c r="J382" s="196"/>
      <c r="K382" s="196"/>
      <c r="L382" s="196" t="str">
        <v/>
      </c>
      <c r="M382" s="196"/>
    </row>
    <row r="383" spans="1:13" ht="14.4" x14ac:dyDescent="0.3">
      <c r="A383" s="189" t="str">
        <f ca="1">IFERROR(__xludf.DUMMYFUNCTION("""COMPUTED_VALUE"""),"DL")</f>
        <v>DL</v>
      </c>
      <c r="B383" s="195" t="str">
        <f ca="1">IFERROR(__xludf.DUMMYFUNCTION("""COMPUTED_VALUE"""),"Audrey Crane")</f>
        <v>Audrey Crane</v>
      </c>
      <c r="C383" s="189">
        <f ca="1">IFERROR(__xludf.DUMMYFUNCTION("""COMPUTED_VALUE"""),13)</f>
        <v>13</v>
      </c>
      <c r="D383" s="189" t="str">
        <f ca="1">IFERROR(__xludf.DUMMYFUNCTION("""COMPUTED_VALUE"""),"G")</f>
        <v>G</v>
      </c>
      <c r="E383" s="189" t="str">
        <f ca="1">IFERROR(__xludf.DUMMYFUNCTION("""COMPUTED_VALUE"""),"I")</f>
        <v>I</v>
      </c>
      <c r="F383" s="189" t="str">
        <f ca="1">IFERROR(__xludf.DUMMYFUNCTION("""COMPUTED_VALUE"""),"S")</f>
        <v>S</v>
      </c>
      <c r="G383" s="189">
        <f ca="1">IFERROR(__xludf.DUMMYFUNCTION("""COMPUTED_VALUE"""),3)</f>
        <v>3</v>
      </c>
      <c r="H383" s="196"/>
      <c r="I383" s="196"/>
      <c r="J383" s="196"/>
      <c r="K383" s="196"/>
      <c r="L383" s="196" t="str">
        <v/>
      </c>
      <c r="M383" s="196"/>
    </row>
    <row r="384" spans="1:13" ht="14.4" x14ac:dyDescent="0.3">
      <c r="A384" s="189" t="str">
        <f ca="1">IFERROR(__xludf.DUMMYFUNCTION("""COMPUTED_VALUE"""),"DL")</f>
        <v>DL</v>
      </c>
      <c r="B384" s="195" t="str">
        <f ca="1">IFERROR(__xludf.DUMMYFUNCTION("""COMPUTED_VALUE"""),"Sophie Ratner")</f>
        <v>Sophie Ratner</v>
      </c>
      <c r="C384" s="189">
        <f ca="1">IFERROR(__xludf.DUMMYFUNCTION("""COMPUTED_VALUE"""),14)</f>
        <v>14</v>
      </c>
      <c r="D384" s="189" t="str">
        <f ca="1">IFERROR(__xludf.DUMMYFUNCTION("""COMPUTED_VALUE"""),"G")</f>
        <v>G</v>
      </c>
      <c r="E384" s="189" t="str">
        <f ca="1">IFERROR(__xludf.DUMMYFUNCTION("""COMPUTED_VALUE"""),"I")</f>
        <v>I</v>
      </c>
      <c r="F384" s="189" t="str">
        <f ca="1">IFERROR(__xludf.DUMMYFUNCTION("""COMPUTED_VALUE"""),"S")</f>
        <v>S</v>
      </c>
      <c r="G384" s="189">
        <f ca="1">IFERROR(__xludf.DUMMYFUNCTION("""COMPUTED_VALUE"""),3)</f>
        <v>3</v>
      </c>
      <c r="H384" s="196"/>
      <c r="I384" s="196"/>
      <c r="J384" s="196"/>
      <c r="K384" s="196"/>
      <c r="L384" s="196" t="str">
        <v/>
      </c>
      <c r="M384" s="196"/>
    </row>
    <row r="385" spans="1:13" ht="14.4" x14ac:dyDescent="0.3">
      <c r="A385" s="189" t="str">
        <f ca="1">IFERROR(__xludf.DUMMYFUNCTION("""COMPUTED_VALUE"""),"DL")</f>
        <v>DL</v>
      </c>
      <c r="B385" s="195" t="str">
        <f ca="1">IFERROR(__xludf.DUMMYFUNCTION("""COMPUTED_VALUE"""),"Vera Boon")</f>
        <v>Vera Boon</v>
      </c>
      <c r="C385" s="189">
        <f ca="1">IFERROR(__xludf.DUMMYFUNCTION("""COMPUTED_VALUE"""),13)</f>
        <v>13</v>
      </c>
      <c r="D385" s="189" t="str">
        <f ca="1">IFERROR(__xludf.DUMMYFUNCTION("""COMPUTED_VALUE"""),"G")</f>
        <v>G</v>
      </c>
      <c r="E385" s="189" t="str">
        <f ca="1">IFERROR(__xludf.DUMMYFUNCTION("""COMPUTED_VALUE"""),"I")</f>
        <v>I</v>
      </c>
      <c r="F385" s="189" t="str">
        <f ca="1">IFERROR(__xludf.DUMMYFUNCTION("""COMPUTED_VALUE"""),"S")</f>
        <v>S</v>
      </c>
      <c r="G385" s="189">
        <f ca="1">IFERROR(__xludf.DUMMYFUNCTION("""COMPUTED_VALUE"""),3)</f>
        <v>3</v>
      </c>
      <c r="H385" s="196"/>
      <c r="I385" s="196"/>
      <c r="J385" s="196"/>
      <c r="K385" s="196"/>
      <c r="L385" s="196" t="str">
        <v/>
      </c>
      <c r="M385" s="196"/>
    </row>
    <row r="386" spans="1:13" ht="14.4" x14ac:dyDescent="0.3">
      <c r="A386" s="189" t="str">
        <f ca="1">IFERROR(__xludf.DUMMYFUNCTION("""COMPUTED_VALUE"""),"DL")</f>
        <v>DL</v>
      </c>
      <c r="B386" s="195" t="str">
        <f ca="1">IFERROR(__xludf.DUMMYFUNCTION("""COMPUTED_VALUE"""),"George Miller")</f>
        <v>George Miller</v>
      </c>
      <c r="C386" s="189">
        <f ca="1">IFERROR(__xludf.DUMMYFUNCTION("""COMPUTED_VALUE"""),13)</f>
        <v>13</v>
      </c>
      <c r="D386" s="189" t="str">
        <f ca="1">IFERROR(__xludf.DUMMYFUNCTION("""COMPUTED_VALUE"""),"B")</f>
        <v>B</v>
      </c>
      <c r="E386" s="189" t="str">
        <f ca="1">IFERROR(__xludf.DUMMYFUNCTION("""COMPUTED_VALUE"""),"I")</f>
        <v>I</v>
      </c>
      <c r="F386" s="189" t="str">
        <f ca="1">IFERROR(__xludf.DUMMYFUNCTION("""COMPUTED_VALUE"""),"S")</f>
        <v>S</v>
      </c>
      <c r="G386" s="189">
        <f ca="1">IFERROR(__xludf.DUMMYFUNCTION("""COMPUTED_VALUE"""),3)</f>
        <v>3</v>
      </c>
      <c r="H386" s="196" t="s">
        <v>186</v>
      </c>
      <c r="I386" s="196"/>
      <c r="J386" s="196" t="s">
        <v>29</v>
      </c>
      <c r="K386" s="196"/>
      <c r="L386" s="196" t="str">
        <v xml:space="preserve"> 105.10</v>
      </c>
      <c r="M386" s="196"/>
    </row>
    <row r="387" spans="1:13" ht="14.4" x14ac:dyDescent="0.3">
      <c r="A387" s="189" t="str">
        <f ca="1">IFERROR(__xludf.DUMMYFUNCTION("""COMPUTED_VALUE"""),"DL")</f>
        <v>DL</v>
      </c>
      <c r="B387" s="195" t="str">
        <f ca="1">IFERROR(__xludf.DUMMYFUNCTION("""COMPUTED_VALUE"""),"Lex Brucker")</f>
        <v>Lex Brucker</v>
      </c>
      <c r="C387" s="189">
        <f ca="1">IFERROR(__xludf.DUMMYFUNCTION("""COMPUTED_VALUE"""),14)</f>
        <v>14</v>
      </c>
      <c r="D387" s="189" t="str">
        <f ca="1">IFERROR(__xludf.DUMMYFUNCTION("""COMPUTED_VALUE"""),"B")</f>
        <v>B</v>
      </c>
      <c r="E387" s="189" t="str">
        <f ca="1">IFERROR(__xludf.DUMMYFUNCTION("""COMPUTED_VALUE"""),"I")</f>
        <v>I</v>
      </c>
      <c r="F387" s="189" t="str">
        <f ca="1">IFERROR(__xludf.DUMMYFUNCTION("""COMPUTED_VALUE"""),"S")</f>
        <v>S</v>
      </c>
      <c r="G387" s="189">
        <f ca="1">IFERROR(__xludf.DUMMYFUNCTION("""COMPUTED_VALUE"""),3)</f>
        <v>3</v>
      </c>
      <c r="H387" s="196" t="s">
        <v>187</v>
      </c>
      <c r="I387" s="196"/>
      <c r="J387" s="196" t="s">
        <v>29</v>
      </c>
      <c r="K387" s="196"/>
      <c r="L387" s="196" t="str">
        <v xml:space="preserve"> 111.50</v>
      </c>
      <c r="M387" s="196"/>
    </row>
    <row r="388" spans="1:13" ht="14.4" x14ac:dyDescent="0.3">
      <c r="A388" s="189" t="str">
        <f ca="1">IFERROR(__xludf.DUMMYFUNCTION("""COMPUTED_VALUE"""),"DL")</f>
        <v>DL</v>
      </c>
      <c r="B388" s="195" t="str">
        <f ca="1">IFERROR(__xludf.DUMMYFUNCTION("""COMPUTED_VALUE"""),"Niall McCarthy")</f>
        <v>Niall McCarthy</v>
      </c>
      <c r="C388" s="189">
        <f ca="1">IFERROR(__xludf.DUMMYFUNCTION("""COMPUTED_VALUE"""),13)</f>
        <v>13</v>
      </c>
      <c r="D388" s="189" t="str">
        <f ca="1">IFERROR(__xludf.DUMMYFUNCTION("""COMPUTED_VALUE"""),"B")</f>
        <v>B</v>
      </c>
      <c r="E388" s="189" t="str">
        <f ca="1">IFERROR(__xludf.DUMMYFUNCTION("""COMPUTED_VALUE"""),"I")</f>
        <v>I</v>
      </c>
      <c r="F388" s="189" t="str">
        <f ca="1">IFERROR(__xludf.DUMMYFUNCTION("""COMPUTED_VALUE"""),"S")</f>
        <v>S</v>
      </c>
      <c r="G388" s="189">
        <f ca="1">IFERROR(__xludf.DUMMYFUNCTION("""COMPUTED_VALUE"""),3)</f>
        <v>3</v>
      </c>
      <c r="H388" s="196" t="s">
        <v>188</v>
      </c>
      <c r="I388" s="196"/>
      <c r="J388" s="196" t="s">
        <v>29</v>
      </c>
      <c r="K388" s="196"/>
      <c r="L388" s="196" t="str">
        <v xml:space="preserve"> 105.40</v>
      </c>
      <c r="M388" s="196"/>
    </row>
    <row r="389" spans="1:13" ht="14.4" x14ac:dyDescent="0.3">
      <c r="A389" s="189" t="str">
        <f ca="1">IFERROR(__xludf.DUMMYFUNCTION("""COMPUTED_VALUE"""),"DL")</f>
        <v>DL</v>
      </c>
      <c r="B389" s="195" t="str">
        <f ca="1">IFERROR(__xludf.DUMMYFUNCTION("""COMPUTED_VALUE"""),"Peter Beatty")</f>
        <v>Peter Beatty</v>
      </c>
      <c r="C389" s="189">
        <f ca="1">IFERROR(__xludf.DUMMYFUNCTION("""COMPUTED_VALUE"""),14)</f>
        <v>14</v>
      </c>
      <c r="D389" s="189" t="str">
        <f ca="1">IFERROR(__xludf.DUMMYFUNCTION("""COMPUTED_VALUE"""),"B")</f>
        <v>B</v>
      </c>
      <c r="E389" s="189" t="str">
        <f ca="1">IFERROR(__xludf.DUMMYFUNCTION("""COMPUTED_VALUE"""),"I")</f>
        <v>I</v>
      </c>
      <c r="F389" s="189" t="str">
        <f ca="1">IFERROR(__xludf.DUMMYFUNCTION("""COMPUTED_VALUE"""),"S")</f>
        <v>S</v>
      </c>
      <c r="G389" s="189">
        <f ca="1">IFERROR(__xludf.DUMMYFUNCTION("""COMPUTED_VALUE"""),3)</f>
        <v>3</v>
      </c>
      <c r="H389" s="196"/>
      <c r="I389" s="196"/>
      <c r="J389" s="196"/>
      <c r="K389" s="196"/>
      <c r="L389" s="196" t="str">
        <v/>
      </c>
      <c r="M389" s="196"/>
    </row>
    <row r="390" spans="1:13" ht="14.4" x14ac:dyDescent="0.3">
      <c r="A390" s="189" t="str">
        <f ca="1">IFERROR(__xludf.DUMMYFUNCTION("""COMPUTED_VALUE"""),"DL")</f>
        <v>DL</v>
      </c>
      <c r="B390" s="195" t="str">
        <f ca="1">IFERROR(__xludf.DUMMYFUNCTION("""COMPUTED_VALUE"""),"Webb Stewart")</f>
        <v>Webb Stewart</v>
      </c>
      <c r="C390" s="189">
        <f ca="1">IFERROR(__xludf.DUMMYFUNCTION("""COMPUTED_VALUE"""),13)</f>
        <v>13</v>
      </c>
      <c r="D390" s="189" t="str">
        <f ca="1">IFERROR(__xludf.DUMMYFUNCTION("""COMPUTED_VALUE"""),"B")</f>
        <v>B</v>
      </c>
      <c r="E390" s="189" t="str">
        <f ca="1">IFERROR(__xludf.DUMMYFUNCTION("""COMPUTED_VALUE"""),"I")</f>
        <v>I</v>
      </c>
      <c r="F390" s="189" t="str">
        <f ca="1">IFERROR(__xludf.DUMMYFUNCTION("""COMPUTED_VALUE"""),"S")</f>
        <v>S</v>
      </c>
      <c r="G390" s="189">
        <f ca="1">IFERROR(__xludf.DUMMYFUNCTION("""COMPUTED_VALUE"""),3)</f>
        <v>3</v>
      </c>
      <c r="H390" s="196"/>
      <c r="I390" s="196"/>
      <c r="J390" s="196"/>
      <c r="K390" s="196"/>
      <c r="L390" s="196" t="str">
        <v/>
      </c>
      <c r="M390" s="196"/>
    </row>
    <row r="391" spans="1:13" ht="14.4" x14ac:dyDescent="0.3">
      <c r="A391" s="189" t="str">
        <f ca="1">IFERROR(__xludf.DUMMYFUNCTION("""COMPUTED_VALUE"""),"DL")</f>
        <v>DL</v>
      </c>
      <c r="B391" s="195" t="str">
        <f ca="1">IFERROR(__xludf.DUMMYFUNCTION("""COMPUTED_VALUE"""),"Zouli Alexandratos")</f>
        <v>Zouli Alexandratos</v>
      </c>
      <c r="C391" s="189">
        <f ca="1">IFERROR(__xludf.DUMMYFUNCTION("""COMPUTED_VALUE"""),13)</f>
        <v>13</v>
      </c>
      <c r="D391" s="189" t="str">
        <f ca="1">IFERROR(__xludf.DUMMYFUNCTION("""COMPUTED_VALUE"""),"B")</f>
        <v>B</v>
      </c>
      <c r="E391" s="189" t="str">
        <f ca="1">IFERROR(__xludf.DUMMYFUNCTION("""COMPUTED_VALUE"""),"I")</f>
        <v>I</v>
      </c>
      <c r="F391" s="189" t="str">
        <f ca="1">IFERROR(__xludf.DUMMYFUNCTION("""COMPUTED_VALUE"""),"S")</f>
        <v>S</v>
      </c>
      <c r="G391" s="189">
        <f ca="1">IFERROR(__xludf.DUMMYFUNCTION("""COMPUTED_VALUE"""),3)</f>
        <v>3</v>
      </c>
      <c r="H391" s="196"/>
      <c r="I391" s="196"/>
      <c r="J391" s="196"/>
      <c r="K391" s="196"/>
      <c r="L391" s="196" t="str">
        <v/>
      </c>
      <c r="M391" s="196"/>
    </row>
    <row r="392" spans="1:13" ht="14.4" x14ac:dyDescent="0.3">
      <c r="A392" s="189" t="str">
        <f ca="1">IFERROR(__xludf.DUMMYFUNCTION("""COMPUTED_VALUE"""),"DL")</f>
        <v>DL</v>
      </c>
      <c r="B392" s="195" t="str">
        <f ca="1">IFERROR(__xludf.DUMMYFUNCTION("""COMPUTED_VALUE"""),"Addison Morgan")</f>
        <v>Addison Morgan</v>
      </c>
      <c r="C392" s="189">
        <f ca="1">IFERROR(__xludf.DUMMYFUNCTION("""COMPUTED_VALUE"""),11)</f>
        <v>11</v>
      </c>
      <c r="D392" s="189" t="str">
        <f ca="1">IFERROR(__xludf.DUMMYFUNCTION("""COMPUTED_VALUE"""),"G")</f>
        <v>G</v>
      </c>
      <c r="E392" s="189" t="str">
        <f ca="1">IFERROR(__xludf.DUMMYFUNCTION("""COMPUTED_VALUE"""),"J")</f>
        <v>J</v>
      </c>
      <c r="F392" s="189" t="str">
        <f ca="1">IFERROR(__xludf.DUMMYFUNCTION("""COMPUTED_VALUE"""),"I")</f>
        <v>I</v>
      </c>
      <c r="G392" s="189">
        <f ca="1">IFERROR(__xludf.DUMMYFUNCTION("""COMPUTED_VALUE"""),3)</f>
        <v>3</v>
      </c>
      <c r="H392" s="196"/>
      <c r="I392" s="196"/>
      <c r="J392" s="196"/>
      <c r="K392" s="196"/>
      <c r="L392" s="196" t="str">
        <v/>
      </c>
      <c r="M392" s="196"/>
    </row>
    <row r="393" spans="1:13" ht="14.4" x14ac:dyDescent="0.3">
      <c r="A393" s="189" t="str">
        <f ca="1">IFERROR(__xludf.DUMMYFUNCTION("""COMPUTED_VALUE"""),"DL")</f>
        <v>DL</v>
      </c>
      <c r="B393" s="195" t="str">
        <f ca="1">IFERROR(__xludf.DUMMYFUNCTION("""COMPUTED_VALUE"""),"Aira Kayastha")</f>
        <v>Aira Kayastha</v>
      </c>
      <c r="C393" s="189">
        <f ca="1">IFERROR(__xludf.DUMMYFUNCTION("""COMPUTED_VALUE"""),12)</f>
        <v>12</v>
      </c>
      <c r="D393" s="189" t="str">
        <f ca="1">IFERROR(__xludf.DUMMYFUNCTION("""COMPUTED_VALUE"""),"G")</f>
        <v>G</v>
      </c>
      <c r="E393" s="189" t="str">
        <f ca="1">IFERROR(__xludf.DUMMYFUNCTION("""COMPUTED_VALUE"""),"J")</f>
        <v>J</v>
      </c>
      <c r="F393" s="189" t="str">
        <f ca="1">IFERROR(__xludf.DUMMYFUNCTION("""COMPUTED_VALUE"""),"I")</f>
        <v>I</v>
      </c>
      <c r="G393" s="189">
        <f ca="1">IFERROR(__xludf.DUMMYFUNCTION("""COMPUTED_VALUE"""),3)</f>
        <v>3</v>
      </c>
      <c r="H393" s="196"/>
      <c r="I393" s="196"/>
      <c r="J393" s="196"/>
      <c r="K393" s="196"/>
      <c r="L393" s="196" t="str">
        <v/>
      </c>
      <c r="M393" s="196"/>
    </row>
    <row r="394" spans="1:13" ht="14.4" x14ac:dyDescent="0.3">
      <c r="A394" s="189" t="str">
        <f ca="1">IFERROR(__xludf.DUMMYFUNCTION("""COMPUTED_VALUE"""),"DL")</f>
        <v>DL</v>
      </c>
      <c r="B394" s="195" t="str">
        <f ca="1">IFERROR(__xludf.DUMMYFUNCTION("""COMPUTED_VALUE"""),"Amelia Koch")</f>
        <v>Amelia Koch</v>
      </c>
      <c r="C394" s="189">
        <f ca="1">IFERROR(__xludf.DUMMYFUNCTION("""COMPUTED_VALUE"""),12)</f>
        <v>12</v>
      </c>
      <c r="D394" s="189" t="str">
        <f ca="1">IFERROR(__xludf.DUMMYFUNCTION("""COMPUTED_VALUE"""),"G")</f>
        <v>G</v>
      </c>
      <c r="E394" s="189" t="str">
        <f ca="1">IFERROR(__xludf.DUMMYFUNCTION("""COMPUTED_VALUE"""),"J")</f>
        <v>J</v>
      </c>
      <c r="F394" s="189" t="str">
        <f ca="1">IFERROR(__xludf.DUMMYFUNCTION("""COMPUTED_VALUE"""),"I")</f>
        <v>I</v>
      </c>
      <c r="G394" s="189">
        <f ca="1">IFERROR(__xludf.DUMMYFUNCTION("""COMPUTED_VALUE"""),3)</f>
        <v>3</v>
      </c>
      <c r="H394" s="196"/>
      <c r="I394" s="196"/>
      <c r="J394" s="196"/>
      <c r="K394" s="196"/>
      <c r="L394" s="196" t="str">
        <v/>
      </c>
      <c r="M394" s="196"/>
    </row>
    <row r="395" spans="1:13" ht="14.4" x14ac:dyDescent="0.3">
      <c r="A395" s="189" t="str">
        <f ca="1">IFERROR(__xludf.DUMMYFUNCTION("""COMPUTED_VALUE"""),"DL")</f>
        <v>DL</v>
      </c>
      <c r="B395" s="195" t="str">
        <f ca="1">IFERROR(__xludf.DUMMYFUNCTION("""COMPUTED_VALUE"""),"Barbara Santley")</f>
        <v>Barbara Santley</v>
      </c>
      <c r="C395" s="189">
        <f ca="1">IFERROR(__xludf.DUMMYFUNCTION("""COMPUTED_VALUE"""),12)</f>
        <v>12</v>
      </c>
      <c r="D395" s="189" t="str">
        <f ca="1">IFERROR(__xludf.DUMMYFUNCTION("""COMPUTED_VALUE"""),"G")</f>
        <v>G</v>
      </c>
      <c r="E395" s="189" t="str">
        <f ca="1">IFERROR(__xludf.DUMMYFUNCTION("""COMPUTED_VALUE"""),"J")</f>
        <v>J</v>
      </c>
      <c r="F395" s="189" t="str">
        <f ca="1">IFERROR(__xludf.DUMMYFUNCTION("""COMPUTED_VALUE"""),"I")</f>
        <v>I</v>
      </c>
      <c r="G395" s="189">
        <f ca="1">IFERROR(__xludf.DUMMYFUNCTION("""COMPUTED_VALUE"""),3)</f>
        <v>3</v>
      </c>
      <c r="H395" s="196"/>
      <c r="I395" s="196"/>
      <c r="J395" s="196"/>
      <c r="K395" s="196"/>
      <c r="L395" s="196" t="str">
        <v/>
      </c>
      <c r="M395" s="196"/>
    </row>
    <row r="396" spans="1:13" ht="14.4" x14ac:dyDescent="0.3">
      <c r="A396" s="189" t="str">
        <f ca="1">IFERROR(__xludf.DUMMYFUNCTION("""COMPUTED_VALUE"""),"DL")</f>
        <v>DL</v>
      </c>
      <c r="B396" s="195" t="str">
        <f ca="1">IFERROR(__xludf.DUMMYFUNCTION("""COMPUTED_VALUE"""),"Clara Beatty")</f>
        <v>Clara Beatty</v>
      </c>
      <c r="C396" s="189">
        <f ca="1">IFERROR(__xludf.DUMMYFUNCTION("""COMPUTED_VALUE"""),12)</f>
        <v>12</v>
      </c>
      <c r="D396" s="189" t="str">
        <f ca="1">IFERROR(__xludf.DUMMYFUNCTION("""COMPUTED_VALUE"""),"G")</f>
        <v>G</v>
      </c>
      <c r="E396" s="189" t="str">
        <f ca="1">IFERROR(__xludf.DUMMYFUNCTION("""COMPUTED_VALUE"""),"J")</f>
        <v>J</v>
      </c>
      <c r="F396" s="189" t="str">
        <f ca="1">IFERROR(__xludf.DUMMYFUNCTION("""COMPUTED_VALUE"""),"I")</f>
        <v>I</v>
      </c>
      <c r="G396" s="189">
        <f ca="1">IFERROR(__xludf.DUMMYFUNCTION("""COMPUTED_VALUE"""),3)</f>
        <v>3</v>
      </c>
      <c r="H396" s="196" t="s">
        <v>189</v>
      </c>
      <c r="I396" s="196"/>
      <c r="J396" s="196" t="s">
        <v>29</v>
      </c>
      <c r="K396" s="196"/>
      <c r="L396" s="196" t="str">
        <v xml:space="preserve"> 81.75</v>
      </c>
      <c r="M396" s="196"/>
    </row>
    <row r="397" spans="1:13" ht="14.4" x14ac:dyDescent="0.3">
      <c r="A397" s="189" t="str">
        <f ca="1">IFERROR(__xludf.DUMMYFUNCTION("""COMPUTED_VALUE"""),"DL")</f>
        <v>DL</v>
      </c>
      <c r="B397" s="195" t="str">
        <f ca="1">IFERROR(__xludf.DUMMYFUNCTION("""COMPUTED_VALUE"""),"Erin Martonik")</f>
        <v>Erin Martonik</v>
      </c>
      <c r="C397" s="189">
        <f ca="1">IFERROR(__xludf.DUMMYFUNCTION("""COMPUTED_VALUE"""),12)</f>
        <v>12</v>
      </c>
      <c r="D397" s="189" t="str">
        <f ca="1">IFERROR(__xludf.DUMMYFUNCTION("""COMPUTED_VALUE"""),"G")</f>
        <v>G</v>
      </c>
      <c r="E397" s="189" t="str">
        <f ca="1">IFERROR(__xludf.DUMMYFUNCTION("""COMPUTED_VALUE"""),"J")</f>
        <v>J</v>
      </c>
      <c r="F397" s="189" t="str">
        <f ca="1">IFERROR(__xludf.DUMMYFUNCTION("""COMPUTED_VALUE"""),"I")</f>
        <v>I</v>
      </c>
      <c r="G397" s="189">
        <f ca="1">IFERROR(__xludf.DUMMYFUNCTION("""COMPUTED_VALUE"""),3)</f>
        <v>3</v>
      </c>
      <c r="H397" s="196" t="s">
        <v>190</v>
      </c>
      <c r="I397" s="196"/>
      <c r="J397" s="196" t="s">
        <v>29</v>
      </c>
      <c r="K397" s="196"/>
      <c r="L397" s="196" t="str">
        <v xml:space="preserve"> 87.05</v>
      </c>
      <c r="M397" s="196"/>
    </row>
    <row r="398" spans="1:13" ht="14.4" x14ac:dyDescent="0.3">
      <c r="A398" s="189" t="str">
        <f ca="1">IFERROR(__xludf.DUMMYFUNCTION("""COMPUTED_VALUE"""),"DL")</f>
        <v>DL</v>
      </c>
      <c r="B398" s="195" t="str">
        <f ca="1">IFERROR(__xludf.DUMMYFUNCTION("""COMPUTED_VALUE"""),"Julianna Bosco")</f>
        <v>Julianna Bosco</v>
      </c>
      <c r="C398" s="189">
        <f ca="1">IFERROR(__xludf.DUMMYFUNCTION("""COMPUTED_VALUE"""),11)</f>
        <v>11</v>
      </c>
      <c r="D398" s="189" t="str">
        <f ca="1">IFERROR(__xludf.DUMMYFUNCTION("""COMPUTED_VALUE"""),"G")</f>
        <v>G</v>
      </c>
      <c r="E398" s="189" t="str">
        <f ca="1">IFERROR(__xludf.DUMMYFUNCTION("""COMPUTED_VALUE"""),"J")</f>
        <v>J</v>
      </c>
      <c r="F398" s="189" t="str">
        <f ca="1">IFERROR(__xludf.DUMMYFUNCTION("""COMPUTED_VALUE"""),"I")</f>
        <v>I</v>
      </c>
      <c r="G398" s="189">
        <f ca="1">IFERROR(__xludf.DUMMYFUNCTION("""COMPUTED_VALUE"""),3)</f>
        <v>3</v>
      </c>
      <c r="H398" s="196"/>
      <c r="I398" s="196"/>
      <c r="J398" s="196"/>
      <c r="K398" s="196"/>
      <c r="L398" s="196" t="str">
        <v/>
      </c>
      <c r="M398" s="196"/>
    </row>
    <row r="399" spans="1:13" ht="14.4" x14ac:dyDescent="0.3">
      <c r="A399" s="189" t="str">
        <f ca="1">IFERROR(__xludf.DUMMYFUNCTION("""COMPUTED_VALUE"""),"DL")</f>
        <v>DL</v>
      </c>
      <c r="B399" s="195" t="str">
        <f ca="1">IFERROR(__xludf.DUMMYFUNCTION("""COMPUTED_VALUE"""),"Laila Kolonda")</f>
        <v>Laila Kolonda</v>
      </c>
      <c r="C399" s="189">
        <f ca="1">IFERROR(__xludf.DUMMYFUNCTION("""COMPUTED_VALUE"""),12)</f>
        <v>12</v>
      </c>
      <c r="D399" s="189" t="str">
        <f ca="1">IFERROR(__xludf.DUMMYFUNCTION("""COMPUTED_VALUE"""),"G")</f>
        <v>G</v>
      </c>
      <c r="E399" s="189" t="str">
        <f ca="1">IFERROR(__xludf.DUMMYFUNCTION("""COMPUTED_VALUE"""),"J")</f>
        <v>J</v>
      </c>
      <c r="F399" s="189" t="str">
        <f ca="1">IFERROR(__xludf.DUMMYFUNCTION("""COMPUTED_VALUE"""),"I")</f>
        <v>I</v>
      </c>
      <c r="G399" s="189">
        <f ca="1">IFERROR(__xludf.DUMMYFUNCTION("""COMPUTED_VALUE"""),3)</f>
        <v>3</v>
      </c>
      <c r="H399" s="196"/>
      <c r="I399" s="196"/>
      <c r="J399" s="196"/>
      <c r="K399" s="196"/>
      <c r="L399" s="196" t="str">
        <v/>
      </c>
      <c r="M399" s="196"/>
    </row>
    <row r="400" spans="1:13" ht="14.4" x14ac:dyDescent="0.3">
      <c r="A400" s="189" t="str">
        <f ca="1">IFERROR(__xludf.DUMMYFUNCTION("""COMPUTED_VALUE"""),"DL")</f>
        <v>DL</v>
      </c>
      <c r="B400" s="195" t="str">
        <f ca="1">IFERROR(__xludf.DUMMYFUNCTION("""COMPUTED_VALUE"""),"Megan Lam")</f>
        <v>Megan Lam</v>
      </c>
      <c r="C400" s="189">
        <f ca="1">IFERROR(__xludf.DUMMYFUNCTION("""COMPUTED_VALUE"""),12)</f>
        <v>12</v>
      </c>
      <c r="D400" s="189" t="str">
        <f ca="1">IFERROR(__xludf.DUMMYFUNCTION("""COMPUTED_VALUE"""),"G")</f>
        <v>G</v>
      </c>
      <c r="E400" s="189" t="str">
        <f ca="1">IFERROR(__xludf.DUMMYFUNCTION("""COMPUTED_VALUE"""),"J")</f>
        <v>J</v>
      </c>
      <c r="F400" s="189" t="str">
        <f ca="1">IFERROR(__xludf.DUMMYFUNCTION("""COMPUTED_VALUE"""),"I")</f>
        <v>I</v>
      </c>
      <c r="G400" s="189">
        <f ca="1">IFERROR(__xludf.DUMMYFUNCTION("""COMPUTED_VALUE"""),3)</f>
        <v>3</v>
      </c>
      <c r="H400" s="196"/>
      <c r="I400" s="196"/>
      <c r="J400" s="196"/>
      <c r="K400" s="196"/>
      <c r="L400" s="196" t="str">
        <v/>
      </c>
      <c r="M400" s="196"/>
    </row>
    <row r="401" spans="1:13" ht="14.4" x14ac:dyDescent="0.3">
      <c r="A401" s="189" t="str">
        <f ca="1">IFERROR(__xludf.DUMMYFUNCTION("""COMPUTED_VALUE"""),"DL")</f>
        <v>DL</v>
      </c>
      <c r="B401" s="195" t="str">
        <f ca="1">IFERROR(__xludf.DUMMYFUNCTION("""COMPUTED_VALUE"""),"Naomi Sherer")</f>
        <v>Naomi Sherer</v>
      </c>
      <c r="C401" s="189">
        <f ca="1">IFERROR(__xludf.DUMMYFUNCTION("""COMPUTED_VALUE"""),12)</f>
        <v>12</v>
      </c>
      <c r="D401" s="189" t="str">
        <f ca="1">IFERROR(__xludf.DUMMYFUNCTION("""COMPUTED_VALUE"""),"G")</f>
        <v>G</v>
      </c>
      <c r="E401" s="189" t="str">
        <f ca="1">IFERROR(__xludf.DUMMYFUNCTION("""COMPUTED_VALUE"""),"J")</f>
        <v>J</v>
      </c>
      <c r="F401" s="189" t="str">
        <f ca="1">IFERROR(__xludf.DUMMYFUNCTION("""COMPUTED_VALUE"""),"I")</f>
        <v>I</v>
      </c>
      <c r="G401" s="189">
        <f ca="1">IFERROR(__xludf.DUMMYFUNCTION("""COMPUTED_VALUE"""),3)</f>
        <v>3</v>
      </c>
      <c r="H401" s="196"/>
      <c r="I401" s="196"/>
      <c r="J401" s="196"/>
      <c r="K401" s="196"/>
      <c r="L401" s="196" t="str">
        <v/>
      </c>
      <c r="M401" s="196"/>
    </row>
    <row r="402" spans="1:13" ht="14.4" x14ac:dyDescent="0.3">
      <c r="A402" s="189" t="str">
        <f ca="1">IFERROR(__xludf.DUMMYFUNCTION("""COMPUTED_VALUE"""),"DL")</f>
        <v>DL</v>
      </c>
      <c r="B402" s="195" t="str">
        <f ca="1">IFERROR(__xludf.DUMMYFUNCTION("""COMPUTED_VALUE"""),"Vivie Lee")</f>
        <v>Vivie Lee</v>
      </c>
      <c r="C402" s="189">
        <f ca="1">IFERROR(__xludf.DUMMYFUNCTION("""COMPUTED_VALUE"""),11)</f>
        <v>11</v>
      </c>
      <c r="D402" s="189" t="str">
        <f ca="1">IFERROR(__xludf.DUMMYFUNCTION("""COMPUTED_VALUE"""),"G")</f>
        <v>G</v>
      </c>
      <c r="E402" s="189" t="str">
        <f ca="1">IFERROR(__xludf.DUMMYFUNCTION("""COMPUTED_VALUE"""),"J")</f>
        <v>J</v>
      </c>
      <c r="F402" s="189" t="str">
        <f ca="1">IFERROR(__xludf.DUMMYFUNCTION("""COMPUTED_VALUE"""),"I")</f>
        <v>I</v>
      </c>
      <c r="G402" s="189">
        <f ca="1">IFERROR(__xludf.DUMMYFUNCTION("""COMPUTED_VALUE"""),3)</f>
        <v>3</v>
      </c>
      <c r="H402" s="196"/>
      <c r="I402" s="196"/>
      <c r="J402" s="196"/>
      <c r="K402" s="196"/>
      <c r="L402" s="196" t="str">
        <v/>
      </c>
      <c r="M402" s="196"/>
    </row>
    <row r="403" spans="1:13" ht="14.4" x14ac:dyDescent="0.3">
      <c r="A403" s="189" t="str">
        <f ca="1">IFERROR(__xludf.DUMMYFUNCTION("""COMPUTED_VALUE"""),"DL")</f>
        <v>DL</v>
      </c>
      <c r="B403" s="195" t="str">
        <f ca="1">IFERROR(__xludf.DUMMYFUNCTION("""COMPUTED_VALUE"""),"Laszlo Matias")</f>
        <v>Laszlo Matias</v>
      </c>
      <c r="C403" s="189">
        <f ca="1">IFERROR(__xludf.DUMMYFUNCTION("""COMPUTED_VALUE"""),11)</f>
        <v>11</v>
      </c>
      <c r="D403" s="189" t="str">
        <f ca="1">IFERROR(__xludf.DUMMYFUNCTION("""COMPUTED_VALUE"""),"B")</f>
        <v>B</v>
      </c>
      <c r="E403" s="189" t="str">
        <f ca="1">IFERROR(__xludf.DUMMYFUNCTION("""COMPUTED_VALUE"""),"J")</f>
        <v>J</v>
      </c>
      <c r="F403" s="189" t="str">
        <f ca="1">IFERROR(__xludf.DUMMYFUNCTION("""COMPUTED_VALUE"""),"I")</f>
        <v>I</v>
      </c>
      <c r="G403" s="189">
        <f ca="1">IFERROR(__xludf.DUMMYFUNCTION("""COMPUTED_VALUE"""),3)</f>
        <v>3</v>
      </c>
      <c r="H403" s="196" t="s">
        <v>191</v>
      </c>
      <c r="I403" s="196"/>
      <c r="J403" s="196" t="s">
        <v>29</v>
      </c>
      <c r="K403" s="196"/>
      <c r="L403" s="196" t="str">
        <v xml:space="preserve"> 61.10</v>
      </c>
      <c r="M403" s="196"/>
    </row>
    <row r="404" spans="1:13" ht="14.4" x14ac:dyDescent="0.3">
      <c r="A404" s="189" t="str">
        <f ca="1">IFERROR(__xludf.DUMMYFUNCTION("""COMPUTED_VALUE"""),"DL")</f>
        <v>DL</v>
      </c>
      <c r="B404" s="195" t="str">
        <f ca="1">IFERROR(__xludf.DUMMYFUNCTION("""COMPUTED_VALUE"""),"TJ DeSando")</f>
        <v>TJ DeSando</v>
      </c>
      <c r="C404" s="189">
        <f ca="1">IFERROR(__xludf.DUMMYFUNCTION("""COMPUTED_VALUE"""),11)</f>
        <v>11</v>
      </c>
      <c r="D404" s="189" t="str">
        <f ca="1">IFERROR(__xludf.DUMMYFUNCTION("""COMPUTED_VALUE"""),"B")</f>
        <v>B</v>
      </c>
      <c r="E404" s="189" t="str">
        <f ca="1">IFERROR(__xludf.DUMMYFUNCTION("""COMPUTED_VALUE"""),"J")</f>
        <v>J</v>
      </c>
      <c r="F404" s="189" t="str">
        <f ca="1">IFERROR(__xludf.DUMMYFUNCTION("""COMPUTED_VALUE"""),"I")</f>
        <v>I</v>
      </c>
      <c r="G404" s="189">
        <f ca="1">IFERROR(__xludf.DUMMYFUNCTION("""COMPUTED_VALUE"""),3)</f>
        <v>3</v>
      </c>
      <c r="H404" s="196" t="s">
        <v>192</v>
      </c>
      <c r="I404" s="196"/>
      <c r="J404" s="196" t="s">
        <v>29</v>
      </c>
      <c r="K404" s="196"/>
      <c r="L404" s="196" t="str">
        <v xml:space="preserve"> 102.45</v>
      </c>
      <c r="M404" s="196"/>
    </row>
    <row r="405" spans="1:13" ht="14.4" x14ac:dyDescent="0.3">
      <c r="A405" s="189" t="str">
        <f ca="1">IFERROR(__xludf.DUMMYFUNCTION("""COMPUTED_VALUE"""),"DL")</f>
        <v>DL</v>
      </c>
      <c r="B405" s="195" t="str">
        <f ca="1">IFERROR(__xludf.DUMMYFUNCTION("""COMPUTED_VALUE"""),"Kiran Vasudevan")</f>
        <v>Kiran Vasudevan</v>
      </c>
      <c r="C405" s="189">
        <f ca="1">IFERROR(__xludf.DUMMYFUNCTION("""COMPUTED_VALUE"""),15)</f>
        <v>15</v>
      </c>
      <c r="D405" s="189" t="str">
        <f ca="1">IFERROR(__xludf.DUMMYFUNCTION("""COMPUTED_VALUE"""),"G")</f>
        <v>G</v>
      </c>
      <c r="E405" s="189" t="str">
        <f ca="1">IFERROR(__xludf.DUMMYFUNCTION("""COMPUTED_VALUE"""),"S")</f>
        <v>S</v>
      </c>
      <c r="F405" s="189" t="str">
        <f ca="1">IFERROR(__xludf.DUMMYFUNCTION("""COMPUTED_VALUE"""),"S")</f>
        <v>S</v>
      </c>
      <c r="G405" s="189">
        <f ca="1">IFERROR(__xludf.DUMMYFUNCTION("""COMPUTED_VALUE"""),3)</f>
        <v>3</v>
      </c>
      <c r="H405" s="196" t="s">
        <v>193</v>
      </c>
      <c r="I405" s="196"/>
      <c r="J405" s="196" t="s">
        <v>29</v>
      </c>
      <c r="K405" s="196"/>
      <c r="L405" s="196" t="str">
        <v xml:space="preserve"> 153.25</v>
      </c>
      <c r="M405" s="196"/>
    </row>
    <row r="406" spans="1:13" ht="14.4" x14ac:dyDescent="0.3">
      <c r="A406" s="189" t="str">
        <f ca="1">IFERROR(__xludf.DUMMYFUNCTION("""COMPUTED_VALUE"""),"DL")</f>
        <v>DL</v>
      </c>
      <c r="B406" s="195" t="str">
        <f ca="1">IFERROR(__xludf.DUMMYFUNCTION("""COMPUTED_VALUE"""),"Joshua Taliaferro")</f>
        <v>Joshua Taliaferro</v>
      </c>
      <c r="C406" s="189">
        <f ca="1">IFERROR(__xludf.DUMMYFUNCTION("""COMPUTED_VALUE"""),15)</f>
        <v>15</v>
      </c>
      <c r="D406" s="189" t="str">
        <f ca="1">IFERROR(__xludf.DUMMYFUNCTION("""COMPUTED_VALUE"""),"B")</f>
        <v>B</v>
      </c>
      <c r="E406" s="189" t="str">
        <f ca="1">IFERROR(__xludf.DUMMYFUNCTION("""COMPUTED_VALUE"""),"S")</f>
        <v>S</v>
      </c>
      <c r="F406" s="189" t="str">
        <f ca="1">IFERROR(__xludf.DUMMYFUNCTION("""COMPUTED_VALUE"""),"S")</f>
        <v>S</v>
      </c>
      <c r="G406" s="189">
        <f ca="1">IFERROR(__xludf.DUMMYFUNCTION("""COMPUTED_VALUE"""),3)</f>
        <v>3</v>
      </c>
      <c r="H406" s="196" t="s">
        <v>194</v>
      </c>
      <c r="I406" s="196"/>
      <c r="J406" s="196" t="s">
        <v>29</v>
      </c>
      <c r="K406" s="196"/>
      <c r="L406" s="196" t="str">
        <v xml:space="preserve"> 156.85</v>
      </c>
      <c r="M406" s="196"/>
    </row>
    <row r="407" spans="1:13" ht="14.4" x14ac:dyDescent="0.3">
      <c r="A407" s="189" t="str">
        <f ca="1">IFERROR(__xludf.DUMMYFUNCTION("""COMPUTED_VALUE"""),"DL")</f>
        <v>DL</v>
      </c>
      <c r="B407" s="195" t="str">
        <f ca="1">IFERROR(__xludf.DUMMYFUNCTION("""COMPUTED_VALUE"""),"Kyle Ratner")</f>
        <v>Kyle Ratner</v>
      </c>
      <c r="C407" s="189">
        <f ca="1">IFERROR(__xludf.DUMMYFUNCTION("""COMPUTED_VALUE"""),16)</f>
        <v>16</v>
      </c>
      <c r="D407" s="189" t="str">
        <f ca="1">IFERROR(__xludf.DUMMYFUNCTION("""COMPUTED_VALUE"""),"B")</f>
        <v>B</v>
      </c>
      <c r="E407" s="189" t="str">
        <f ca="1">IFERROR(__xludf.DUMMYFUNCTION("""COMPUTED_VALUE"""),"S")</f>
        <v>S</v>
      </c>
      <c r="F407" s="189" t="str">
        <f ca="1">IFERROR(__xludf.DUMMYFUNCTION("""COMPUTED_VALUE"""),"S")</f>
        <v>S</v>
      </c>
      <c r="G407" s="189">
        <f ca="1">IFERROR(__xludf.DUMMYFUNCTION("""COMPUTED_VALUE"""),3)</f>
        <v>3</v>
      </c>
      <c r="H407" s="196"/>
      <c r="I407" s="196"/>
      <c r="J407" s="196"/>
      <c r="K407" s="196"/>
      <c r="L407" s="196" t="str">
        <v/>
      </c>
      <c r="M407" s="196"/>
    </row>
    <row r="408" spans="1:13" ht="14.4" x14ac:dyDescent="0.3">
      <c r="A408" s="189" t="str">
        <f ca="1">IFERROR(__xludf.DUMMYFUNCTION("""COMPUTED_VALUE"""),"DL")</f>
        <v>DL</v>
      </c>
      <c r="B408" s="195" t="str">
        <f ca="1">IFERROR(__xludf.DUMMYFUNCTION("""COMPUTED_VALUE"""),"Mike DeSando")</f>
        <v>Mike DeSando</v>
      </c>
      <c r="C408" s="189">
        <f ca="1">IFERROR(__xludf.DUMMYFUNCTION("""COMPUTED_VALUE"""),16)</f>
        <v>16</v>
      </c>
      <c r="D408" s="189" t="str">
        <f ca="1">IFERROR(__xludf.DUMMYFUNCTION("""COMPUTED_VALUE"""),"B")</f>
        <v>B</v>
      </c>
      <c r="E408" s="189" t="str">
        <f ca="1">IFERROR(__xludf.DUMMYFUNCTION("""COMPUTED_VALUE"""),"S")</f>
        <v>S</v>
      </c>
      <c r="F408" s="189" t="str">
        <f ca="1">IFERROR(__xludf.DUMMYFUNCTION("""COMPUTED_VALUE"""),"S")</f>
        <v>S</v>
      </c>
      <c r="G408" s="189">
        <f ca="1">IFERROR(__xludf.DUMMYFUNCTION("""COMPUTED_VALUE"""),3)</f>
        <v>3</v>
      </c>
      <c r="H408" s="196" t="s">
        <v>195</v>
      </c>
      <c r="I408" s="196"/>
      <c r="J408" s="196" t="s">
        <v>29</v>
      </c>
      <c r="K408" s="196"/>
      <c r="L408" s="196" t="str">
        <v xml:space="preserve"> 228.85</v>
      </c>
      <c r="M408" s="196"/>
    </row>
    <row r="409" spans="1:13" ht="14.4" x14ac:dyDescent="0.3">
      <c r="A409" s="189" t="str">
        <f ca="1">IFERROR(__xludf.DUMMYFUNCTION("""COMPUTED_VALUE"""),"DR")</f>
        <v>DR</v>
      </c>
      <c r="B409" s="195" t="str">
        <f ca="1">IFERROR(__xludf.DUMMYFUNCTION("""COMPUTED_VALUE"""),"Addy Kohn")</f>
        <v>Addy Kohn</v>
      </c>
      <c r="C409" s="189">
        <f ca="1">IFERROR(__xludf.DUMMYFUNCTION("""COMPUTED_VALUE"""),8)</f>
        <v>8</v>
      </c>
      <c r="D409" s="189" t="str">
        <f ca="1">IFERROR(__xludf.DUMMYFUNCTION("""COMPUTED_VALUE"""),"G")</f>
        <v>G</v>
      </c>
      <c r="E409" s="189" t="str">
        <f ca="1">IFERROR(__xludf.DUMMYFUNCTION("""COMPUTED_VALUE"""),"F")</f>
        <v>F</v>
      </c>
      <c r="F409" s="189" t="str">
        <f ca="1">IFERROR(__xludf.DUMMYFUNCTION("""COMPUTED_VALUE"""),"J")</f>
        <v>J</v>
      </c>
      <c r="G409" s="189">
        <f ca="1">IFERROR(__xludf.DUMMYFUNCTION("""COMPUTED_VALUE"""),1)</f>
        <v>1</v>
      </c>
      <c r="H409" s="196"/>
      <c r="I409" s="196"/>
      <c r="J409" s="196"/>
      <c r="K409" s="196"/>
      <c r="L409" s="196" t="str">
        <v/>
      </c>
      <c r="M409" s="196"/>
    </row>
    <row r="410" spans="1:13" ht="14.4" x14ac:dyDescent="0.3">
      <c r="A410" s="189" t="str">
        <f ca="1">IFERROR(__xludf.DUMMYFUNCTION("""COMPUTED_VALUE"""),"DR")</f>
        <v>DR</v>
      </c>
      <c r="B410" s="195" t="str">
        <f ca="1">IFERROR(__xludf.DUMMYFUNCTION("""COMPUTED_VALUE"""),"Alma Cappitelli")</f>
        <v>Alma Cappitelli</v>
      </c>
      <c r="C410" s="189">
        <f ca="1">IFERROR(__xludf.DUMMYFUNCTION("""COMPUTED_VALUE"""),7)</f>
        <v>7</v>
      </c>
      <c r="D410" s="189" t="str">
        <f ca="1">IFERROR(__xludf.DUMMYFUNCTION("""COMPUTED_VALUE"""),"G")</f>
        <v>G</v>
      </c>
      <c r="E410" s="189" t="str">
        <f ca="1">IFERROR(__xludf.DUMMYFUNCTION("""COMPUTED_VALUE"""),"F")</f>
        <v>F</v>
      </c>
      <c r="F410" s="189" t="str">
        <f ca="1">IFERROR(__xludf.DUMMYFUNCTION("""COMPUTED_VALUE"""),"J")</f>
        <v>J</v>
      </c>
      <c r="G410" s="189">
        <f ca="1">IFERROR(__xludf.DUMMYFUNCTION("""COMPUTED_VALUE"""),1)</f>
        <v>1</v>
      </c>
      <c r="H410" s="196"/>
      <c r="I410" s="196"/>
      <c r="J410" s="196"/>
      <c r="K410" s="196"/>
      <c r="L410" s="196" t="str">
        <v/>
      </c>
      <c r="M410" s="196"/>
    </row>
    <row r="411" spans="1:13" ht="14.4" x14ac:dyDescent="0.3">
      <c r="A411" s="189" t="str">
        <f ca="1">IFERROR(__xludf.DUMMYFUNCTION("""COMPUTED_VALUE"""),"DR")</f>
        <v>DR</v>
      </c>
      <c r="B411" s="195" t="str">
        <f ca="1">IFERROR(__xludf.DUMMYFUNCTION("""COMPUTED_VALUE"""),"Annie Madden")</f>
        <v>Annie Madden</v>
      </c>
      <c r="C411" s="189">
        <f ca="1">IFERROR(__xludf.DUMMYFUNCTION("""COMPUTED_VALUE"""),10)</f>
        <v>10</v>
      </c>
      <c r="D411" s="189" t="str">
        <f ca="1">IFERROR(__xludf.DUMMYFUNCTION("""COMPUTED_VALUE"""),"G")</f>
        <v>G</v>
      </c>
      <c r="E411" s="189" t="str">
        <f ca="1">IFERROR(__xludf.DUMMYFUNCTION("""COMPUTED_VALUE"""),"F")</f>
        <v>F</v>
      </c>
      <c r="F411" s="189" t="str">
        <f ca="1">IFERROR(__xludf.DUMMYFUNCTION("""COMPUTED_VALUE"""),"J")</f>
        <v>J</v>
      </c>
      <c r="G411" s="189">
        <f ca="1">IFERROR(__xludf.DUMMYFUNCTION("""COMPUTED_VALUE"""),1)</f>
        <v>1</v>
      </c>
      <c r="H411" s="196"/>
      <c r="I411" s="196"/>
      <c r="J411" s="196"/>
      <c r="K411" s="196"/>
      <c r="L411" s="196" t="str">
        <v/>
      </c>
      <c r="M411" s="196"/>
    </row>
    <row r="412" spans="1:13" ht="14.4" x14ac:dyDescent="0.3">
      <c r="A412" s="189" t="str">
        <f ca="1">IFERROR(__xludf.DUMMYFUNCTION("""COMPUTED_VALUE"""),"DR")</f>
        <v>DR</v>
      </c>
      <c r="B412" s="195" t="str">
        <f ca="1">IFERROR(__xludf.DUMMYFUNCTION("""COMPUTED_VALUE"""),"Audrey Moore")</f>
        <v>Audrey Moore</v>
      </c>
      <c r="C412" s="189">
        <f ca="1">IFERROR(__xludf.DUMMYFUNCTION("""COMPUTED_VALUE"""),8)</f>
        <v>8</v>
      </c>
      <c r="D412" s="189" t="str">
        <f ca="1">IFERROR(__xludf.DUMMYFUNCTION("""COMPUTED_VALUE"""),"G")</f>
        <v>G</v>
      </c>
      <c r="E412" s="189" t="str">
        <f ca="1">IFERROR(__xludf.DUMMYFUNCTION("""COMPUTED_VALUE"""),"F")</f>
        <v>F</v>
      </c>
      <c r="F412" s="189" t="str">
        <f ca="1">IFERROR(__xludf.DUMMYFUNCTION("""COMPUTED_VALUE"""),"J")</f>
        <v>J</v>
      </c>
      <c r="G412" s="189">
        <f ca="1">IFERROR(__xludf.DUMMYFUNCTION("""COMPUTED_VALUE"""),1)</f>
        <v>1</v>
      </c>
      <c r="H412" s="196"/>
      <c r="I412" s="196"/>
      <c r="J412" s="196"/>
      <c r="K412" s="196"/>
      <c r="L412" s="196" t="str">
        <v/>
      </c>
      <c r="M412" s="196"/>
    </row>
    <row r="413" spans="1:13" ht="14.4" x14ac:dyDescent="0.3">
      <c r="A413" s="189" t="str">
        <f ca="1">IFERROR(__xludf.DUMMYFUNCTION("""COMPUTED_VALUE"""),"DR")</f>
        <v>DR</v>
      </c>
      <c r="B413" s="195" t="str">
        <f ca="1">IFERROR(__xludf.DUMMYFUNCTION("""COMPUTED_VALUE"""),"Avery Thoman")</f>
        <v>Avery Thoman</v>
      </c>
      <c r="C413" s="189">
        <f ca="1">IFERROR(__xludf.DUMMYFUNCTION("""COMPUTED_VALUE"""),6)</f>
        <v>6</v>
      </c>
      <c r="D413" s="189" t="str">
        <f ca="1">IFERROR(__xludf.DUMMYFUNCTION("""COMPUTED_VALUE"""),"G")</f>
        <v>G</v>
      </c>
      <c r="E413" s="189" t="str">
        <f ca="1">IFERROR(__xludf.DUMMYFUNCTION("""COMPUTED_VALUE"""),"F")</f>
        <v>F</v>
      </c>
      <c r="F413" s="189" t="str">
        <f ca="1">IFERROR(__xludf.DUMMYFUNCTION("""COMPUTED_VALUE"""),"J")</f>
        <v>J</v>
      </c>
      <c r="G413" s="189">
        <f ca="1">IFERROR(__xludf.DUMMYFUNCTION("""COMPUTED_VALUE"""),1)</f>
        <v>1</v>
      </c>
      <c r="H413" s="196"/>
      <c r="I413" s="196"/>
      <c r="J413" s="196"/>
      <c r="K413" s="196"/>
      <c r="L413" s="196" t="str">
        <v/>
      </c>
      <c r="M413" s="196"/>
    </row>
    <row r="414" spans="1:13" ht="14.4" x14ac:dyDescent="0.3">
      <c r="A414" s="189" t="str">
        <f ca="1">IFERROR(__xludf.DUMMYFUNCTION("""COMPUTED_VALUE"""),"DR")</f>
        <v>DR</v>
      </c>
      <c r="B414" s="195" t="str">
        <f ca="1">IFERROR(__xludf.DUMMYFUNCTION("""COMPUTED_VALUE"""),"Callie Moriarty")</f>
        <v>Callie Moriarty</v>
      </c>
      <c r="C414" s="189">
        <f ca="1">IFERROR(__xludf.DUMMYFUNCTION("""COMPUTED_VALUE"""),10)</f>
        <v>10</v>
      </c>
      <c r="D414" s="189" t="str">
        <f ca="1">IFERROR(__xludf.DUMMYFUNCTION("""COMPUTED_VALUE"""),"G")</f>
        <v>G</v>
      </c>
      <c r="E414" s="189" t="str">
        <f ca="1">IFERROR(__xludf.DUMMYFUNCTION("""COMPUTED_VALUE"""),"F")</f>
        <v>F</v>
      </c>
      <c r="F414" s="189" t="str">
        <f ca="1">IFERROR(__xludf.DUMMYFUNCTION("""COMPUTED_VALUE"""),"J")</f>
        <v>J</v>
      </c>
      <c r="G414" s="189">
        <f ca="1">IFERROR(__xludf.DUMMYFUNCTION("""COMPUTED_VALUE"""),1)</f>
        <v>1</v>
      </c>
      <c r="H414" s="196" t="s">
        <v>196</v>
      </c>
      <c r="I414" s="196"/>
      <c r="J414" s="196" t="s">
        <v>29</v>
      </c>
      <c r="K414" s="196"/>
      <c r="L414" s="196" t="str">
        <v xml:space="preserve"> 52.00</v>
      </c>
      <c r="M414" s="196"/>
    </row>
    <row r="415" spans="1:13" ht="14.4" x14ac:dyDescent="0.3">
      <c r="A415" s="189" t="str">
        <f ca="1">IFERROR(__xludf.DUMMYFUNCTION("""COMPUTED_VALUE"""),"DR")</f>
        <v>DR</v>
      </c>
      <c r="B415" s="195" t="str">
        <f ca="1">IFERROR(__xludf.DUMMYFUNCTION("""COMPUTED_VALUE"""),"Charleigh Healey")</f>
        <v>Charleigh Healey</v>
      </c>
      <c r="C415" s="189">
        <f ca="1">IFERROR(__xludf.DUMMYFUNCTION("""COMPUTED_VALUE"""),8)</f>
        <v>8</v>
      </c>
      <c r="D415" s="189" t="str">
        <f ca="1">IFERROR(__xludf.DUMMYFUNCTION("""COMPUTED_VALUE"""),"G")</f>
        <v>G</v>
      </c>
      <c r="E415" s="189" t="str">
        <f ca="1">IFERROR(__xludf.DUMMYFUNCTION("""COMPUTED_VALUE"""),"F")</f>
        <v>F</v>
      </c>
      <c r="F415" s="189" t="str">
        <f ca="1">IFERROR(__xludf.DUMMYFUNCTION("""COMPUTED_VALUE"""),"J")</f>
        <v>J</v>
      </c>
      <c r="G415" s="189">
        <f ca="1">IFERROR(__xludf.DUMMYFUNCTION("""COMPUTED_VALUE"""),1)</f>
        <v>1</v>
      </c>
      <c r="H415" s="196"/>
      <c r="I415" s="196"/>
      <c r="J415" s="196"/>
      <c r="K415" s="196"/>
      <c r="L415" s="196" t="str">
        <v/>
      </c>
      <c r="M415" s="196"/>
    </row>
    <row r="416" spans="1:13" ht="14.4" x14ac:dyDescent="0.3">
      <c r="A416" s="189" t="str">
        <f ca="1">IFERROR(__xludf.DUMMYFUNCTION("""COMPUTED_VALUE"""),"DR")</f>
        <v>DR</v>
      </c>
      <c r="B416" s="195" t="str">
        <f ca="1">IFERROR(__xludf.DUMMYFUNCTION("""COMPUTED_VALUE"""),"Charlotte Fayhee")</f>
        <v>Charlotte Fayhee</v>
      </c>
      <c r="C416" s="189">
        <f ca="1">IFERROR(__xludf.DUMMYFUNCTION("""COMPUTED_VALUE"""),10)</f>
        <v>10</v>
      </c>
      <c r="D416" s="189" t="str">
        <f ca="1">IFERROR(__xludf.DUMMYFUNCTION("""COMPUTED_VALUE"""),"G")</f>
        <v>G</v>
      </c>
      <c r="E416" s="189" t="str">
        <f ca="1">IFERROR(__xludf.DUMMYFUNCTION("""COMPUTED_VALUE"""),"F")</f>
        <v>F</v>
      </c>
      <c r="F416" s="189" t="str">
        <f ca="1">IFERROR(__xludf.DUMMYFUNCTION("""COMPUTED_VALUE"""),"J")</f>
        <v>J</v>
      </c>
      <c r="G416" s="189">
        <f ca="1">IFERROR(__xludf.DUMMYFUNCTION("""COMPUTED_VALUE"""),1)</f>
        <v>1</v>
      </c>
      <c r="H416" s="196"/>
      <c r="I416" s="196"/>
      <c r="J416" s="196"/>
      <c r="K416" s="196"/>
      <c r="L416" s="196" t="str">
        <v/>
      </c>
      <c r="M416" s="196"/>
    </row>
    <row r="417" spans="1:13" ht="14.4" x14ac:dyDescent="0.3">
      <c r="A417" s="189" t="str">
        <f ca="1">IFERROR(__xludf.DUMMYFUNCTION("""COMPUTED_VALUE"""),"DR")</f>
        <v>DR</v>
      </c>
      <c r="B417" s="195" t="str">
        <f ca="1">IFERROR(__xludf.DUMMYFUNCTION("""COMPUTED_VALUE"""),"Daphne Conquest")</f>
        <v>Daphne Conquest</v>
      </c>
      <c r="C417" s="189">
        <f ca="1">IFERROR(__xludf.DUMMYFUNCTION("""COMPUTED_VALUE"""),6)</f>
        <v>6</v>
      </c>
      <c r="D417" s="189" t="str">
        <f ca="1">IFERROR(__xludf.DUMMYFUNCTION("""COMPUTED_VALUE"""),"G")</f>
        <v>G</v>
      </c>
      <c r="E417" s="189" t="str">
        <f ca="1">IFERROR(__xludf.DUMMYFUNCTION("""COMPUTED_VALUE"""),"F")</f>
        <v>F</v>
      </c>
      <c r="F417" s="189" t="str">
        <f ca="1">IFERROR(__xludf.DUMMYFUNCTION("""COMPUTED_VALUE"""),"J")</f>
        <v>J</v>
      </c>
      <c r="G417" s="189">
        <f ca="1">IFERROR(__xludf.DUMMYFUNCTION("""COMPUTED_VALUE"""),1)</f>
        <v>1</v>
      </c>
      <c r="H417" s="196"/>
      <c r="I417" s="196"/>
      <c r="J417" s="196"/>
      <c r="K417" s="196"/>
      <c r="L417" s="196" t="str">
        <v/>
      </c>
      <c r="M417" s="196"/>
    </row>
    <row r="418" spans="1:13" ht="14.4" x14ac:dyDescent="0.3">
      <c r="A418" s="189" t="str">
        <f ca="1">IFERROR(__xludf.DUMMYFUNCTION("""COMPUTED_VALUE"""),"DR")</f>
        <v>DR</v>
      </c>
      <c r="B418" s="195" t="str">
        <f ca="1">IFERROR(__xludf.DUMMYFUNCTION("""COMPUTED_VALUE"""),"Delaney Weaver")</f>
        <v>Delaney Weaver</v>
      </c>
      <c r="C418" s="189">
        <f ca="1">IFERROR(__xludf.DUMMYFUNCTION("""COMPUTED_VALUE"""),5)</f>
        <v>5</v>
      </c>
      <c r="D418" s="189" t="str">
        <f ca="1">IFERROR(__xludf.DUMMYFUNCTION("""COMPUTED_VALUE"""),"G")</f>
        <v>G</v>
      </c>
      <c r="E418" s="189" t="str">
        <f ca="1">IFERROR(__xludf.DUMMYFUNCTION("""COMPUTED_VALUE"""),"F")</f>
        <v>F</v>
      </c>
      <c r="F418" s="189" t="str">
        <f ca="1">IFERROR(__xludf.DUMMYFUNCTION("""COMPUTED_VALUE"""),"J")</f>
        <v>J</v>
      </c>
      <c r="G418" s="189">
        <f ca="1">IFERROR(__xludf.DUMMYFUNCTION("""COMPUTED_VALUE"""),1)</f>
        <v>1</v>
      </c>
      <c r="H418" s="196"/>
      <c r="I418" s="196"/>
      <c r="J418" s="196"/>
      <c r="K418" s="196"/>
      <c r="L418" s="196" t="str">
        <v/>
      </c>
      <c r="M418" s="196"/>
    </row>
    <row r="419" spans="1:13" ht="14.4" x14ac:dyDescent="0.3">
      <c r="A419" s="189" t="str">
        <f ca="1">IFERROR(__xludf.DUMMYFUNCTION("""COMPUTED_VALUE"""),"DR")</f>
        <v>DR</v>
      </c>
      <c r="B419" s="195" t="str">
        <f ca="1">IFERROR(__xludf.DUMMYFUNCTION("""COMPUTED_VALUE"""),"Elanor Fitzgerald")</f>
        <v>Elanor Fitzgerald</v>
      </c>
      <c r="C419" s="189">
        <f ca="1">IFERROR(__xludf.DUMMYFUNCTION("""COMPUTED_VALUE"""),7)</f>
        <v>7</v>
      </c>
      <c r="D419" s="189" t="str">
        <f ca="1">IFERROR(__xludf.DUMMYFUNCTION("""COMPUTED_VALUE"""),"G")</f>
        <v>G</v>
      </c>
      <c r="E419" s="189" t="str">
        <f ca="1">IFERROR(__xludf.DUMMYFUNCTION("""COMPUTED_VALUE"""),"F")</f>
        <v>F</v>
      </c>
      <c r="F419" s="189" t="str">
        <f ca="1">IFERROR(__xludf.DUMMYFUNCTION("""COMPUTED_VALUE"""),"J")</f>
        <v>J</v>
      </c>
      <c r="G419" s="189">
        <f ca="1">IFERROR(__xludf.DUMMYFUNCTION("""COMPUTED_VALUE"""),1)</f>
        <v>1</v>
      </c>
      <c r="H419" s="196" t="s">
        <v>197</v>
      </c>
      <c r="I419" s="196"/>
      <c r="J419" s="196" t="s">
        <v>29</v>
      </c>
      <c r="K419" s="196"/>
      <c r="L419" s="196" t="str">
        <v xml:space="preserve"> 41.50</v>
      </c>
      <c r="M419" s="196"/>
    </row>
    <row r="420" spans="1:13" ht="14.4" x14ac:dyDescent="0.3">
      <c r="A420" s="189" t="str">
        <f ca="1">IFERROR(__xludf.DUMMYFUNCTION("""COMPUTED_VALUE"""),"DR")</f>
        <v>DR</v>
      </c>
      <c r="B420" s="195" t="str">
        <f ca="1">IFERROR(__xludf.DUMMYFUNCTION("""COMPUTED_VALUE"""),"Eliza Simms")</f>
        <v>Eliza Simms</v>
      </c>
      <c r="C420" s="189">
        <f ca="1">IFERROR(__xludf.DUMMYFUNCTION("""COMPUTED_VALUE"""),5)</f>
        <v>5</v>
      </c>
      <c r="D420" s="189" t="str">
        <f ca="1">IFERROR(__xludf.DUMMYFUNCTION("""COMPUTED_VALUE"""),"G")</f>
        <v>G</v>
      </c>
      <c r="E420" s="189" t="str">
        <f ca="1">IFERROR(__xludf.DUMMYFUNCTION("""COMPUTED_VALUE"""),"F")</f>
        <v>F</v>
      </c>
      <c r="F420" s="189" t="str">
        <f ca="1">IFERROR(__xludf.DUMMYFUNCTION("""COMPUTED_VALUE"""),"J")</f>
        <v>J</v>
      </c>
      <c r="G420" s="189">
        <f ca="1">IFERROR(__xludf.DUMMYFUNCTION("""COMPUTED_VALUE"""),1)</f>
        <v>1</v>
      </c>
      <c r="H420" s="196"/>
      <c r="I420" s="196"/>
      <c r="J420" s="196"/>
      <c r="K420" s="196"/>
      <c r="L420" s="196" t="str">
        <v/>
      </c>
      <c r="M420" s="196"/>
    </row>
    <row r="421" spans="1:13" ht="14.4" x14ac:dyDescent="0.3">
      <c r="A421" s="189" t="str">
        <f ca="1">IFERROR(__xludf.DUMMYFUNCTION("""COMPUTED_VALUE"""),"DR")</f>
        <v>DR</v>
      </c>
      <c r="B421" s="195" t="str">
        <f ca="1">IFERROR(__xludf.DUMMYFUNCTION("""COMPUTED_VALUE"""),"Emily Bracken")</f>
        <v>Emily Bracken</v>
      </c>
      <c r="C421" s="189">
        <f ca="1">IFERROR(__xludf.DUMMYFUNCTION("""COMPUTED_VALUE"""),7)</f>
        <v>7</v>
      </c>
      <c r="D421" s="189" t="str">
        <f ca="1">IFERROR(__xludf.DUMMYFUNCTION("""COMPUTED_VALUE"""),"G")</f>
        <v>G</v>
      </c>
      <c r="E421" s="189" t="str">
        <f ca="1">IFERROR(__xludf.DUMMYFUNCTION("""COMPUTED_VALUE"""),"F")</f>
        <v>F</v>
      </c>
      <c r="F421" s="189" t="str">
        <f ca="1">IFERROR(__xludf.DUMMYFUNCTION("""COMPUTED_VALUE"""),"J")</f>
        <v>J</v>
      </c>
      <c r="G421" s="189">
        <f ca="1">IFERROR(__xludf.DUMMYFUNCTION("""COMPUTED_VALUE"""),1)</f>
        <v>1</v>
      </c>
      <c r="H421" s="196"/>
      <c r="I421" s="196"/>
      <c r="J421" s="196"/>
      <c r="K421" s="196"/>
      <c r="L421" s="196" t="str">
        <v/>
      </c>
      <c r="M421" s="196"/>
    </row>
    <row r="422" spans="1:13" ht="14.4" x14ac:dyDescent="0.3">
      <c r="A422" s="189" t="str">
        <f ca="1">IFERROR(__xludf.DUMMYFUNCTION("""COMPUTED_VALUE"""),"DR")</f>
        <v>DR</v>
      </c>
      <c r="B422" s="195" t="str">
        <f ca="1">IFERROR(__xludf.DUMMYFUNCTION("""COMPUTED_VALUE"""),"Finley McDonnell")</f>
        <v>Finley McDonnell</v>
      </c>
      <c r="C422" s="189">
        <f ca="1">IFERROR(__xludf.DUMMYFUNCTION("""COMPUTED_VALUE"""),10)</f>
        <v>10</v>
      </c>
      <c r="D422" s="189" t="str">
        <f ca="1">IFERROR(__xludf.DUMMYFUNCTION("""COMPUTED_VALUE"""),"G")</f>
        <v>G</v>
      </c>
      <c r="E422" s="189" t="str">
        <f ca="1">IFERROR(__xludf.DUMMYFUNCTION("""COMPUTED_VALUE"""),"F")</f>
        <v>F</v>
      </c>
      <c r="F422" s="189" t="str">
        <f ca="1">IFERROR(__xludf.DUMMYFUNCTION("""COMPUTED_VALUE"""),"J")</f>
        <v>J</v>
      </c>
      <c r="G422" s="189">
        <f ca="1">IFERROR(__xludf.DUMMYFUNCTION("""COMPUTED_VALUE"""),1)</f>
        <v>1</v>
      </c>
      <c r="H422" s="196" t="s">
        <v>198</v>
      </c>
      <c r="I422" s="196"/>
      <c r="J422" s="196" t="s">
        <v>29</v>
      </c>
      <c r="K422" s="196"/>
      <c r="L422" s="196" t="str">
        <v xml:space="preserve"> 64.80</v>
      </c>
      <c r="M422" s="196"/>
    </row>
    <row r="423" spans="1:13" ht="14.4" x14ac:dyDescent="0.3">
      <c r="A423" s="189" t="str">
        <f ca="1">IFERROR(__xludf.DUMMYFUNCTION("""COMPUTED_VALUE"""),"DR")</f>
        <v>DR</v>
      </c>
      <c r="B423" s="195" t="str">
        <f ca="1">IFERROR(__xludf.DUMMYFUNCTION("""COMPUTED_VALUE"""),"Ginny Moore")</f>
        <v>Ginny Moore</v>
      </c>
      <c r="C423" s="189">
        <f ca="1">IFERROR(__xludf.DUMMYFUNCTION("""COMPUTED_VALUE"""),10)</f>
        <v>10</v>
      </c>
      <c r="D423" s="189" t="str">
        <f ca="1">IFERROR(__xludf.DUMMYFUNCTION("""COMPUTED_VALUE"""),"G")</f>
        <v>G</v>
      </c>
      <c r="E423" s="189" t="str">
        <f ca="1">IFERROR(__xludf.DUMMYFUNCTION("""COMPUTED_VALUE"""),"F")</f>
        <v>F</v>
      </c>
      <c r="F423" s="189" t="str">
        <f ca="1">IFERROR(__xludf.DUMMYFUNCTION("""COMPUTED_VALUE"""),"J")</f>
        <v>J</v>
      </c>
      <c r="G423" s="189">
        <f ca="1">IFERROR(__xludf.DUMMYFUNCTION("""COMPUTED_VALUE"""),1)</f>
        <v>1</v>
      </c>
      <c r="H423" s="196"/>
      <c r="I423" s="196"/>
      <c r="J423" s="196"/>
      <c r="K423" s="196"/>
      <c r="L423" s="196" t="str">
        <v/>
      </c>
      <c r="M423" s="196"/>
    </row>
    <row r="424" spans="1:13" ht="14.4" x14ac:dyDescent="0.3">
      <c r="A424" s="189" t="str">
        <f ca="1">IFERROR(__xludf.DUMMYFUNCTION("""COMPUTED_VALUE"""),"DR")</f>
        <v>DR</v>
      </c>
      <c r="B424" s="195" t="str">
        <f ca="1">IFERROR(__xludf.DUMMYFUNCTION("""COMPUTED_VALUE"""),"Isabel Jacobs")</f>
        <v>Isabel Jacobs</v>
      </c>
      <c r="C424" s="189">
        <f ca="1">IFERROR(__xludf.DUMMYFUNCTION("""COMPUTED_VALUE"""),9)</f>
        <v>9</v>
      </c>
      <c r="D424" s="189" t="str">
        <f ca="1">IFERROR(__xludf.DUMMYFUNCTION("""COMPUTED_VALUE"""),"G")</f>
        <v>G</v>
      </c>
      <c r="E424" s="189" t="str">
        <f ca="1">IFERROR(__xludf.DUMMYFUNCTION("""COMPUTED_VALUE"""),"F")</f>
        <v>F</v>
      </c>
      <c r="F424" s="189" t="str">
        <f ca="1">IFERROR(__xludf.DUMMYFUNCTION("""COMPUTED_VALUE"""),"J")</f>
        <v>J</v>
      </c>
      <c r="G424" s="189">
        <f ca="1">IFERROR(__xludf.DUMMYFUNCTION("""COMPUTED_VALUE"""),1)</f>
        <v>1</v>
      </c>
      <c r="H424" s="196"/>
      <c r="I424" s="196"/>
      <c r="J424" s="196"/>
      <c r="K424" s="196"/>
      <c r="L424" s="196" t="str">
        <v/>
      </c>
      <c r="M424" s="196"/>
    </row>
    <row r="425" spans="1:13" ht="14.4" x14ac:dyDescent="0.3">
      <c r="A425" s="189" t="str">
        <f ca="1">IFERROR(__xludf.DUMMYFUNCTION("""COMPUTED_VALUE"""),"DR")</f>
        <v>DR</v>
      </c>
      <c r="B425" s="195" t="str">
        <f ca="1">IFERROR(__xludf.DUMMYFUNCTION("""COMPUTED_VALUE"""),"Kate Edgerton")</f>
        <v>Kate Edgerton</v>
      </c>
      <c r="C425" s="189">
        <f ca="1">IFERROR(__xludf.DUMMYFUNCTION("""COMPUTED_VALUE"""),8)</f>
        <v>8</v>
      </c>
      <c r="D425" s="189" t="str">
        <f ca="1">IFERROR(__xludf.DUMMYFUNCTION("""COMPUTED_VALUE"""),"G")</f>
        <v>G</v>
      </c>
      <c r="E425" s="189" t="str">
        <f ca="1">IFERROR(__xludf.DUMMYFUNCTION("""COMPUTED_VALUE"""),"F")</f>
        <v>F</v>
      </c>
      <c r="F425" s="189" t="str">
        <f ca="1">IFERROR(__xludf.DUMMYFUNCTION("""COMPUTED_VALUE"""),"J")</f>
        <v>J</v>
      </c>
      <c r="G425" s="189">
        <f ca="1">IFERROR(__xludf.DUMMYFUNCTION("""COMPUTED_VALUE"""),1)</f>
        <v>1</v>
      </c>
      <c r="H425" s="196" t="s">
        <v>199</v>
      </c>
      <c r="I425" s="196"/>
      <c r="J425" s="196" t="s">
        <v>29</v>
      </c>
      <c r="K425" s="196"/>
      <c r="L425" s="196" t="str">
        <v xml:space="preserve"> 30.85</v>
      </c>
      <c r="M425" s="196"/>
    </row>
    <row r="426" spans="1:13" ht="14.4" x14ac:dyDescent="0.3">
      <c r="A426" s="189" t="str">
        <f ca="1">IFERROR(__xludf.DUMMYFUNCTION("""COMPUTED_VALUE"""),"DR")</f>
        <v>DR</v>
      </c>
      <c r="B426" s="195" t="str">
        <f ca="1">IFERROR(__xludf.DUMMYFUNCTION("""COMPUTED_VALUE"""),"Katie Weaver")</f>
        <v>Katie Weaver</v>
      </c>
      <c r="C426" s="189">
        <f ca="1">IFERROR(__xludf.DUMMYFUNCTION("""COMPUTED_VALUE"""),7)</f>
        <v>7</v>
      </c>
      <c r="D426" s="189" t="str">
        <f ca="1">IFERROR(__xludf.DUMMYFUNCTION("""COMPUTED_VALUE"""),"G")</f>
        <v>G</v>
      </c>
      <c r="E426" s="189" t="str">
        <f ca="1">IFERROR(__xludf.DUMMYFUNCTION("""COMPUTED_VALUE"""),"F")</f>
        <v>F</v>
      </c>
      <c r="F426" s="189" t="str">
        <f ca="1">IFERROR(__xludf.DUMMYFUNCTION("""COMPUTED_VALUE"""),"J")</f>
        <v>J</v>
      </c>
      <c r="G426" s="189">
        <f ca="1">IFERROR(__xludf.DUMMYFUNCTION("""COMPUTED_VALUE"""),1)</f>
        <v>1</v>
      </c>
      <c r="H426" s="196"/>
      <c r="I426" s="196"/>
      <c r="J426" s="196"/>
      <c r="K426" s="196"/>
      <c r="L426" s="196" t="str">
        <v/>
      </c>
      <c r="M426" s="196"/>
    </row>
    <row r="427" spans="1:13" ht="14.4" x14ac:dyDescent="0.3">
      <c r="A427" s="189" t="str">
        <f ca="1">IFERROR(__xludf.DUMMYFUNCTION("""COMPUTED_VALUE"""),"DR")</f>
        <v>DR</v>
      </c>
      <c r="B427" s="195" t="str">
        <f ca="1">IFERROR(__xludf.DUMMYFUNCTION("""COMPUTED_VALUE"""),"Laura Krumins")</f>
        <v>Laura Krumins</v>
      </c>
      <c r="C427" s="189">
        <f ca="1">IFERROR(__xludf.DUMMYFUNCTION("""COMPUTED_VALUE"""),8)</f>
        <v>8</v>
      </c>
      <c r="D427" s="189" t="str">
        <f ca="1">IFERROR(__xludf.DUMMYFUNCTION("""COMPUTED_VALUE"""),"G")</f>
        <v>G</v>
      </c>
      <c r="E427" s="189" t="str">
        <f ca="1">IFERROR(__xludf.DUMMYFUNCTION("""COMPUTED_VALUE"""),"F")</f>
        <v>F</v>
      </c>
      <c r="F427" s="189" t="str">
        <f ca="1">IFERROR(__xludf.DUMMYFUNCTION("""COMPUTED_VALUE"""),"J")</f>
        <v>J</v>
      </c>
      <c r="G427" s="189">
        <f ca="1">IFERROR(__xludf.DUMMYFUNCTION("""COMPUTED_VALUE"""),1)</f>
        <v>1</v>
      </c>
      <c r="H427" s="196"/>
      <c r="I427" s="196"/>
      <c r="J427" s="196"/>
      <c r="K427" s="196"/>
      <c r="L427" s="196" t="str">
        <v/>
      </c>
      <c r="M427" s="196"/>
    </row>
    <row r="428" spans="1:13" ht="14.4" x14ac:dyDescent="0.3">
      <c r="A428" s="189" t="str">
        <f ca="1">IFERROR(__xludf.DUMMYFUNCTION("""COMPUTED_VALUE"""),"DR")</f>
        <v>DR</v>
      </c>
      <c r="B428" s="195" t="str">
        <f ca="1">IFERROR(__xludf.DUMMYFUNCTION("""COMPUTED_VALUE"""),"Lucy Brannan")</f>
        <v>Lucy Brannan</v>
      </c>
      <c r="C428" s="189">
        <f ca="1">IFERROR(__xludf.DUMMYFUNCTION("""COMPUTED_VALUE"""),7)</f>
        <v>7</v>
      </c>
      <c r="D428" s="189" t="str">
        <f ca="1">IFERROR(__xludf.DUMMYFUNCTION("""COMPUTED_VALUE"""),"G")</f>
        <v>G</v>
      </c>
      <c r="E428" s="189" t="str">
        <f ca="1">IFERROR(__xludf.DUMMYFUNCTION("""COMPUTED_VALUE"""),"F")</f>
        <v>F</v>
      </c>
      <c r="F428" s="189" t="str">
        <f ca="1">IFERROR(__xludf.DUMMYFUNCTION("""COMPUTED_VALUE"""),"J")</f>
        <v>J</v>
      </c>
      <c r="G428" s="189">
        <f ca="1">IFERROR(__xludf.DUMMYFUNCTION("""COMPUTED_VALUE"""),1)</f>
        <v>1</v>
      </c>
      <c r="H428" s="196"/>
      <c r="I428" s="196"/>
      <c r="J428" s="196"/>
      <c r="K428" s="196"/>
      <c r="L428" s="196" t="str">
        <v/>
      </c>
      <c r="M428" s="196"/>
    </row>
    <row r="429" spans="1:13" ht="14.4" x14ac:dyDescent="0.3">
      <c r="A429" s="189" t="str">
        <f ca="1">IFERROR(__xludf.DUMMYFUNCTION("""COMPUTED_VALUE"""),"DR")</f>
        <v>DR</v>
      </c>
      <c r="B429" s="195" t="str">
        <f ca="1">IFERROR(__xludf.DUMMYFUNCTION("""COMPUTED_VALUE"""),"Lucy Mullinix")</f>
        <v>Lucy Mullinix</v>
      </c>
      <c r="C429" s="189">
        <f ca="1">IFERROR(__xludf.DUMMYFUNCTION("""COMPUTED_VALUE"""),7)</f>
        <v>7</v>
      </c>
      <c r="D429" s="189" t="str">
        <f ca="1">IFERROR(__xludf.DUMMYFUNCTION("""COMPUTED_VALUE"""),"G")</f>
        <v>G</v>
      </c>
      <c r="E429" s="189" t="str">
        <f ca="1">IFERROR(__xludf.DUMMYFUNCTION("""COMPUTED_VALUE"""),"F")</f>
        <v>F</v>
      </c>
      <c r="F429" s="189" t="str">
        <f ca="1">IFERROR(__xludf.DUMMYFUNCTION("""COMPUTED_VALUE"""),"J")</f>
        <v>J</v>
      </c>
      <c r="G429" s="189">
        <f ca="1">IFERROR(__xludf.DUMMYFUNCTION("""COMPUTED_VALUE"""),1)</f>
        <v>1</v>
      </c>
      <c r="H429" s="196"/>
      <c r="I429" s="196"/>
      <c r="J429" s="196"/>
      <c r="K429" s="196"/>
      <c r="L429" s="196" t="str">
        <v/>
      </c>
      <c r="M429" s="196"/>
    </row>
    <row r="430" spans="1:13" ht="14.4" x14ac:dyDescent="0.3">
      <c r="A430" s="189" t="str">
        <f ca="1">IFERROR(__xludf.DUMMYFUNCTION("""COMPUTED_VALUE"""),"DR")</f>
        <v>DR</v>
      </c>
      <c r="B430" s="195" t="str">
        <f ca="1">IFERROR(__xludf.DUMMYFUNCTION("""COMPUTED_VALUE"""),"Mabel Mullinix")</f>
        <v>Mabel Mullinix</v>
      </c>
      <c r="C430" s="189">
        <f ca="1">IFERROR(__xludf.DUMMYFUNCTION("""COMPUTED_VALUE"""),7)</f>
        <v>7</v>
      </c>
      <c r="D430" s="189" t="str">
        <f ca="1">IFERROR(__xludf.DUMMYFUNCTION("""COMPUTED_VALUE"""),"G")</f>
        <v>G</v>
      </c>
      <c r="E430" s="189" t="str">
        <f ca="1">IFERROR(__xludf.DUMMYFUNCTION("""COMPUTED_VALUE"""),"F")</f>
        <v>F</v>
      </c>
      <c r="F430" s="189" t="str">
        <f ca="1">IFERROR(__xludf.DUMMYFUNCTION("""COMPUTED_VALUE"""),"J")</f>
        <v>J</v>
      </c>
      <c r="G430" s="189">
        <f ca="1">IFERROR(__xludf.DUMMYFUNCTION("""COMPUTED_VALUE"""),1)</f>
        <v>1</v>
      </c>
      <c r="H430" s="196"/>
      <c r="I430" s="196"/>
      <c r="J430" s="196"/>
      <c r="K430" s="196"/>
      <c r="L430" s="196" t="str">
        <v/>
      </c>
      <c r="M430" s="196"/>
    </row>
    <row r="431" spans="1:13" ht="14.4" x14ac:dyDescent="0.3">
      <c r="A431" s="189" t="str">
        <f ca="1">IFERROR(__xludf.DUMMYFUNCTION("""COMPUTED_VALUE"""),"DR")</f>
        <v>DR</v>
      </c>
      <c r="B431" s="195" t="str">
        <f ca="1">IFERROR(__xludf.DUMMYFUNCTION("""COMPUTED_VALUE"""),"Mae Moriarty")</f>
        <v>Mae Moriarty</v>
      </c>
      <c r="C431" s="189">
        <f ca="1">IFERROR(__xludf.DUMMYFUNCTION("""COMPUTED_VALUE"""),6)</f>
        <v>6</v>
      </c>
      <c r="D431" s="189" t="str">
        <f ca="1">IFERROR(__xludf.DUMMYFUNCTION("""COMPUTED_VALUE"""),"G")</f>
        <v>G</v>
      </c>
      <c r="E431" s="189" t="str">
        <f ca="1">IFERROR(__xludf.DUMMYFUNCTION("""COMPUTED_VALUE"""),"F")</f>
        <v>F</v>
      </c>
      <c r="F431" s="189" t="str">
        <f ca="1">IFERROR(__xludf.DUMMYFUNCTION("""COMPUTED_VALUE"""),"J")</f>
        <v>J</v>
      </c>
      <c r="G431" s="189">
        <f ca="1">IFERROR(__xludf.DUMMYFUNCTION("""COMPUTED_VALUE"""),1)</f>
        <v>1</v>
      </c>
      <c r="H431" s="196"/>
      <c r="I431" s="196"/>
      <c r="J431" s="196"/>
      <c r="K431" s="196"/>
      <c r="L431" s="196" t="str">
        <v/>
      </c>
      <c r="M431" s="196"/>
    </row>
    <row r="432" spans="1:13" ht="14.4" x14ac:dyDescent="0.3">
      <c r="A432" s="189" t="str">
        <f ca="1">IFERROR(__xludf.DUMMYFUNCTION("""COMPUTED_VALUE"""),"DR")</f>
        <v>DR</v>
      </c>
      <c r="B432" s="195" t="str">
        <f ca="1">IFERROR(__xludf.DUMMYFUNCTION("""COMPUTED_VALUE"""),"Noreen Dhaliwal")</f>
        <v>Noreen Dhaliwal</v>
      </c>
      <c r="C432" s="189">
        <f ca="1">IFERROR(__xludf.DUMMYFUNCTION("""COMPUTED_VALUE"""),9)</f>
        <v>9</v>
      </c>
      <c r="D432" s="189" t="str">
        <f ca="1">IFERROR(__xludf.DUMMYFUNCTION("""COMPUTED_VALUE"""),"G")</f>
        <v>G</v>
      </c>
      <c r="E432" s="189" t="str">
        <f ca="1">IFERROR(__xludf.DUMMYFUNCTION("""COMPUTED_VALUE"""),"F")</f>
        <v>F</v>
      </c>
      <c r="F432" s="189" t="str">
        <f ca="1">IFERROR(__xludf.DUMMYFUNCTION("""COMPUTED_VALUE"""),"J")</f>
        <v>J</v>
      </c>
      <c r="G432" s="189">
        <f ca="1">IFERROR(__xludf.DUMMYFUNCTION("""COMPUTED_VALUE"""),1)</f>
        <v>1</v>
      </c>
      <c r="H432" s="196"/>
      <c r="I432" s="196"/>
      <c r="J432" s="196"/>
      <c r="K432" s="196"/>
      <c r="L432" s="196" t="str">
        <v/>
      </c>
      <c r="M432" s="196"/>
    </row>
    <row r="433" spans="1:13" ht="14.4" x14ac:dyDescent="0.3">
      <c r="A433" s="189" t="str">
        <f ca="1">IFERROR(__xludf.DUMMYFUNCTION("""COMPUTED_VALUE"""),"DR")</f>
        <v>DR</v>
      </c>
      <c r="B433" s="195" t="str">
        <f ca="1">IFERROR(__xludf.DUMMYFUNCTION("""COMPUTED_VALUE"""),"Paige Lobue")</f>
        <v>Paige Lobue</v>
      </c>
      <c r="C433" s="189">
        <f ca="1">IFERROR(__xludf.DUMMYFUNCTION("""COMPUTED_VALUE"""),9)</f>
        <v>9</v>
      </c>
      <c r="D433" s="189" t="str">
        <f ca="1">IFERROR(__xludf.DUMMYFUNCTION("""COMPUTED_VALUE"""),"G")</f>
        <v>G</v>
      </c>
      <c r="E433" s="189" t="str">
        <f ca="1">IFERROR(__xludf.DUMMYFUNCTION("""COMPUTED_VALUE"""),"F")</f>
        <v>F</v>
      </c>
      <c r="F433" s="189" t="str">
        <f ca="1">IFERROR(__xludf.DUMMYFUNCTION("""COMPUTED_VALUE"""),"J")</f>
        <v>J</v>
      </c>
      <c r="G433" s="189">
        <f ca="1">IFERROR(__xludf.DUMMYFUNCTION("""COMPUTED_VALUE"""),1)</f>
        <v>1</v>
      </c>
      <c r="H433" s="196" t="s">
        <v>200</v>
      </c>
      <c r="I433" s="196"/>
      <c r="J433" s="196" t="s">
        <v>29</v>
      </c>
      <c r="K433" s="196"/>
      <c r="L433" s="196" t="str">
        <v xml:space="preserve"> 28.85</v>
      </c>
      <c r="M433" s="196"/>
    </row>
    <row r="434" spans="1:13" ht="14.4" x14ac:dyDescent="0.3">
      <c r="A434" s="189" t="str">
        <f ca="1">IFERROR(__xludf.DUMMYFUNCTION("""COMPUTED_VALUE"""),"DR")</f>
        <v>DR</v>
      </c>
      <c r="B434" s="195" t="str">
        <f ca="1">IFERROR(__xludf.DUMMYFUNCTION("""COMPUTED_VALUE"""),"Rosalie Fitzgerald")</f>
        <v>Rosalie Fitzgerald</v>
      </c>
      <c r="C434" s="189">
        <f ca="1">IFERROR(__xludf.DUMMYFUNCTION("""COMPUTED_VALUE"""),9)</f>
        <v>9</v>
      </c>
      <c r="D434" s="189" t="str">
        <f ca="1">IFERROR(__xludf.DUMMYFUNCTION("""COMPUTED_VALUE"""),"G")</f>
        <v>G</v>
      </c>
      <c r="E434" s="189" t="str">
        <f ca="1">IFERROR(__xludf.DUMMYFUNCTION("""COMPUTED_VALUE"""),"F")</f>
        <v>F</v>
      </c>
      <c r="F434" s="189" t="str">
        <f ca="1">IFERROR(__xludf.DUMMYFUNCTION("""COMPUTED_VALUE"""),"J")</f>
        <v>J</v>
      </c>
      <c r="G434" s="189">
        <f ca="1">IFERROR(__xludf.DUMMYFUNCTION("""COMPUTED_VALUE"""),1)</f>
        <v>1</v>
      </c>
      <c r="H434" s="196" t="s">
        <v>201</v>
      </c>
      <c r="I434" s="196"/>
      <c r="J434" s="196" t="s">
        <v>29</v>
      </c>
      <c r="K434" s="196"/>
      <c r="L434" s="196" t="str">
        <v xml:space="preserve"> 54.15</v>
      </c>
      <c r="M434" s="196"/>
    </row>
    <row r="435" spans="1:13" ht="14.4" x14ac:dyDescent="0.3">
      <c r="A435" s="189" t="str">
        <f ca="1">IFERROR(__xludf.DUMMYFUNCTION("""COMPUTED_VALUE"""),"DR")</f>
        <v>DR</v>
      </c>
      <c r="B435" s="195" t="str">
        <f ca="1">IFERROR(__xludf.DUMMYFUNCTION("""COMPUTED_VALUE"""),"Sydney Magnuson")</f>
        <v>Sydney Magnuson</v>
      </c>
      <c r="C435" s="189">
        <f ca="1">IFERROR(__xludf.DUMMYFUNCTION("""COMPUTED_VALUE"""),9)</f>
        <v>9</v>
      </c>
      <c r="D435" s="189" t="str">
        <f ca="1">IFERROR(__xludf.DUMMYFUNCTION("""COMPUTED_VALUE"""),"G")</f>
        <v>G</v>
      </c>
      <c r="E435" s="189" t="str">
        <f ca="1">IFERROR(__xludf.DUMMYFUNCTION("""COMPUTED_VALUE"""),"F")</f>
        <v>F</v>
      </c>
      <c r="F435" s="189" t="str">
        <f ca="1">IFERROR(__xludf.DUMMYFUNCTION("""COMPUTED_VALUE"""),"J")</f>
        <v>J</v>
      </c>
      <c r="G435" s="189">
        <f ca="1">IFERROR(__xludf.DUMMYFUNCTION("""COMPUTED_VALUE"""),1)</f>
        <v>1</v>
      </c>
      <c r="H435" s="196"/>
      <c r="I435" s="196"/>
      <c r="J435" s="196"/>
      <c r="K435" s="196"/>
      <c r="L435" s="196" t="str">
        <v/>
      </c>
      <c r="M435" s="196"/>
    </row>
    <row r="436" spans="1:13" ht="14.4" x14ac:dyDescent="0.3">
      <c r="A436" s="189" t="str">
        <f ca="1">IFERROR(__xludf.DUMMYFUNCTION("""COMPUTED_VALUE"""),"DR")</f>
        <v>DR</v>
      </c>
      <c r="B436" s="195" t="str">
        <f ca="1">IFERROR(__xludf.DUMMYFUNCTION("""COMPUTED_VALUE"""),"Violet Yam")</f>
        <v>Violet Yam</v>
      </c>
      <c r="C436" s="189">
        <f ca="1">IFERROR(__xludf.DUMMYFUNCTION("""COMPUTED_VALUE"""),8)</f>
        <v>8</v>
      </c>
      <c r="D436" s="189" t="str">
        <f ca="1">IFERROR(__xludf.DUMMYFUNCTION("""COMPUTED_VALUE"""),"G")</f>
        <v>G</v>
      </c>
      <c r="E436" s="189" t="str">
        <f ca="1">IFERROR(__xludf.DUMMYFUNCTION("""COMPUTED_VALUE"""),"F")</f>
        <v>F</v>
      </c>
      <c r="F436" s="189" t="str">
        <f ca="1">IFERROR(__xludf.DUMMYFUNCTION("""COMPUTED_VALUE"""),"J")</f>
        <v>J</v>
      </c>
      <c r="G436" s="189">
        <f ca="1">IFERROR(__xludf.DUMMYFUNCTION("""COMPUTED_VALUE"""),1)</f>
        <v>1</v>
      </c>
      <c r="H436" s="196"/>
      <c r="I436" s="196"/>
      <c r="J436" s="196"/>
      <c r="K436" s="196"/>
      <c r="L436" s="196" t="str">
        <v/>
      </c>
      <c r="M436" s="196"/>
    </row>
    <row r="437" spans="1:13" ht="14.4" x14ac:dyDescent="0.3">
      <c r="A437" s="189" t="str">
        <f ca="1">IFERROR(__xludf.DUMMYFUNCTION("""COMPUTED_VALUE"""),"DR")</f>
        <v>DR</v>
      </c>
      <c r="B437" s="195" t="str">
        <f ca="1">IFERROR(__xludf.DUMMYFUNCTION("""COMPUTED_VALUE"""),"Wrenna Humphries-Do")</f>
        <v>Wrenna Humphries-Do</v>
      </c>
      <c r="C437" s="189">
        <f ca="1">IFERROR(__xludf.DUMMYFUNCTION("""COMPUTED_VALUE"""),7)</f>
        <v>7</v>
      </c>
      <c r="D437" s="189" t="str">
        <f ca="1">IFERROR(__xludf.DUMMYFUNCTION("""COMPUTED_VALUE"""),"G")</f>
        <v>G</v>
      </c>
      <c r="E437" s="189" t="str">
        <f ca="1">IFERROR(__xludf.DUMMYFUNCTION("""COMPUTED_VALUE"""),"F")</f>
        <v>F</v>
      </c>
      <c r="F437" s="189" t="str">
        <f ca="1">IFERROR(__xludf.DUMMYFUNCTION("""COMPUTED_VALUE"""),"J")</f>
        <v>J</v>
      </c>
      <c r="G437" s="189">
        <f ca="1">IFERROR(__xludf.DUMMYFUNCTION("""COMPUTED_VALUE"""),1)</f>
        <v>1</v>
      </c>
      <c r="H437" s="196"/>
      <c r="I437" s="196"/>
      <c r="J437" s="196"/>
      <c r="K437" s="196"/>
      <c r="L437" s="196" t="str">
        <v/>
      </c>
      <c r="M437" s="196"/>
    </row>
    <row r="438" spans="1:13" ht="14.4" x14ac:dyDescent="0.3">
      <c r="A438" s="189" t="str">
        <f ca="1">IFERROR(__xludf.DUMMYFUNCTION("""COMPUTED_VALUE"""),"DR")</f>
        <v>DR</v>
      </c>
      <c r="B438" s="195" t="str">
        <f ca="1">IFERROR(__xludf.DUMMYFUNCTION("""COMPUTED_VALUE"""),"Arlo Kapadia")</f>
        <v>Arlo Kapadia</v>
      </c>
      <c r="C438" s="189">
        <f ca="1">IFERROR(__xludf.DUMMYFUNCTION("""COMPUTED_VALUE"""),9)</f>
        <v>9</v>
      </c>
      <c r="D438" s="189" t="str">
        <f ca="1">IFERROR(__xludf.DUMMYFUNCTION("""COMPUTED_VALUE"""),"B")</f>
        <v>B</v>
      </c>
      <c r="E438" s="189" t="str">
        <f ca="1">IFERROR(__xludf.DUMMYFUNCTION("""COMPUTED_VALUE"""),"F")</f>
        <v>F</v>
      </c>
      <c r="F438" s="189" t="str">
        <f ca="1">IFERROR(__xludf.DUMMYFUNCTION("""COMPUTED_VALUE"""),"J")</f>
        <v>J</v>
      </c>
      <c r="G438" s="189">
        <f ca="1">IFERROR(__xludf.DUMMYFUNCTION("""COMPUTED_VALUE"""),1)</f>
        <v>1</v>
      </c>
      <c r="H438" s="196"/>
      <c r="I438" s="196"/>
      <c r="J438" s="196"/>
      <c r="K438" s="196"/>
      <c r="L438" s="196" t="str">
        <v/>
      </c>
      <c r="M438" s="196"/>
    </row>
    <row r="439" spans="1:13" ht="14.4" x14ac:dyDescent="0.3">
      <c r="A439" s="189" t="str">
        <f ca="1">IFERROR(__xludf.DUMMYFUNCTION("""COMPUTED_VALUE"""),"DR")</f>
        <v>DR</v>
      </c>
      <c r="B439" s="195" t="str">
        <f ca="1">IFERROR(__xludf.DUMMYFUNCTION("""COMPUTED_VALUE"""),"Ben Thoman")</f>
        <v>Ben Thoman</v>
      </c>
      <c r="C439" s="189">
        <f ca="1">IFERROR(__xludf.DUMMYFUNCTION("""COMPUTED_VALUE"""),8)</f>
        <v>8</v>
      </c>
      <c r="D439" s="189" t="str">
        <f ca="1">IFERROR(__xludf.DUMMYFUNCTION("""COMPUTED_VALUE"""),"B")</f>
        <v>B</v>
      </c>
      <c r="E439" s="189" t="str">
        <f ca="1">IFERROR(__xludf.DUMMYFUNCTION("""COMPUTED_VALUE"""),"F")</f>
        <v>F</v>
      </c>
      <c r="F439" s="189" t="str">
        <f ca="1">IFERROR(__xludf.DUMMYFUNCTION("""COMPUTED_VALUE"""),"J")</f>
        <v>J</v>
      </c>
      <c r="G439" s="189">
        <f ca="1">IFERROR(__xludf.DUMMYFUNCTION("""COMPUTED_VALUE"""),1)</f>
        <v>1</v>
      </c>
      <c r="H439" s="196"/>
      <c r="I439" s="196"/>
      <c r="J439" s="196"/>
      <c r="K439" s="196"/>
      <c r="L439" s="196" t="str">
        <v/>
      </c>
      <c r="M439" s="196"/>
    </row>
    <row r="440" spans="1:13" ht="14.4" x14ac:dyDescent="0.3">
      <c r="A440" s="189" t="str">
        <f ca="1">IFERROR(__xludf.DUMMYFUNCTION("""COMPUTED_VALUE"""),"DR")</f>
        <v>DR</v>
      </c>
      <c r="B440" s="195" t="str">
        <f ca="1">IFERROR(__xludf.DUMMYFUNCTION("""COMPUTED_VALUE"""),"Bodhi Bailey")</f>
        <v>Bodhi Bailey</v>
      </c>
      <c r="C440" s="189">
        <f ca="1">IFERROR(__xludf.DUMMYFUNCTION("""COMPUTED_VALUE"""),10)</f>
        <v>10</v>
      </c>
      <c r="D440" s="189" t="str">
        <f ca="1">IFERROR(__xludf.DUMMYFUNCTION("""COMPUTED_VALUE"""),"B")</f>
        <v>B</v>
      </c>
      <c r="E440" s="189" t="str">
        <f ca="1">IFERROR(__xludf.DUMMYFUNCTION("""COMPUTED_VALUE"""),"F")</f>
        <v>F</v>
      </c>
      <c r="F440" s="189" t="str">
        <f ca="1">IFERROR(__xludf.DUMMYFUNCTION("""COMPUTED_VALUE"""),"J")</f>
        <v>J</v>
      </c>
      <c r="G440" s="189">
        <f ca="1">IFERROR(__xludf.DUMMYFUNCTION("""COMPUTED_VALUE"""),1)</f>
        <v>1</v>
      </c>
      <c r="H440" s="196"/>
      <c r="I440" s="196"/>
      <c r="J440" s="196"/>
      <c r="K440" s="196"/>
      <c r="L440" s="196" t="str">
        <v/>
      </c>
      <c r="M440" s="196"/>
    </row>
    <row r="441" spans="1:13" ht="14.4" x14ac:dyDescent="0.3">
      <c r="A441" s="189" t="str">
        <f ca="1">IFERROR(__xludf.DUMMYFUNCTION("""COMPUTED_VALUE"""),"DR")</f>
        <v>DR</v>
      </c>
      <c r="B441" s="195" t="str">
        <f ca="1">IFERROR(__xludf.DUMMYFUNCTION("""COMPUTED_VALUE"""),"Bruce Sunderland")</f>
        <v>Bruce Sunderland</v>
      </c>
      <c r="C441" s="189">
        <f ca="1">IFERROR(__xludf.DUMMYFUNCTION("""COMPUTED_VALUE"""),7)</f>
        <v>7</v>
      </c>
      <c r="D441" s="189" t="str">
        <f ca="1">IFERROR(__xludf.DUMMYFUNCTION("""COMPUTED_VALUE"""),"B")</f>
        <v>B</v>
      </c>
      <c r="E441" s="189" t="str">
        <f ca="1">IFERROR(__xludf.DUMMYFUNCTION("""COMPUTED_VALUE"""),"F")</f>
        <v>F</v>
      </c>
      <c r="F441" s="189" t="str">
        <f ca="1">IFERROR(__xludf.DUMMYFUNCTION("""COMPUTED_VALUE"""),"J")</f>
        <v>J</v>
      </c>
      <c r="G441" s="189">
        <f ca="1">IFERROR(__xludf.DUMMYFUNCTION("""COMPUTED_VALUE"""),1)</f>
        <v>1</v>
      </c>
      <c r="H441" s="196"/>
      <c r="I441" s="196"/>
      <c r="J441" s="196"/>
      <c r="K441" s="196"/>
      <c r="L441" s="196" t="str">
        <v/>
      </c>
      <c r="M441" s="196"/>
    </row>
    <row r="442" spans="1:13" ht="14.4" x14ac:dyDescent="0.3">
      <c r="A442" s="189" t="str">
        <f ca="1">IFERROR(__xludf.DUMMYFUNCTION("""COMPUTED_VALUE"""),"DR")</f>
        <v>DR</v>
      </c>
      <c r="B442" s="195" t="str">
        <f ca="1">IFERROR(__xludf.DUMMYFUNCTION("""COMPUTED_VALUE"""),"Christian Jacobs")</f>
        <v>Christian Jacobs</v>
      </c>
      <c r="C442" s="189">
        <f ca="1">IFERROR(__xludf.DUMMYFUNCTION("""COMPUTED_VALUE"""),7)</f>
        <v>7</v>
      </c>
      <c r="D442" s="189" t="str">
        <f ca="1">IFERROR(__xludf.DUMMYFUNCTION("""COMPUTED_VALUE"""),"B")</f>
        <v>B</v>
      </c>
      <c r="E442" s="189" t="str">
        <f ca="1">IFERROR(__xludf.DUMMYFUNCTION("""COMPUTED_VALUE"""),"F")</f>
        <v>F</v>
      </c>
      <c r="F442" s="189" t="str">
        <f ca="1">IFERROR(__xludf.DUMMYFUNCTION("""COMPUTED_VALUE"""),"J")</f>
        <v>J</v>
      </c>
      <c r="G442" s="189">
        <f ca="1">IFERROR(__xludf.DUMMYFUNCTION("""COMPUTED_VALUE"""),1)</f>
        <v>1</v>
      </c>
      <c r="H442" s="196"/>
      <c r="I442" s="196"/>
      <c r="J442" s="196"/>
      <c r="K442" s="196"/>
      <c r="L442" s="196" t="str">
        <v/>
      </c>
      <c r="M442" s="196"/>
    </row>
    <row r="443" spans="1:13" ht="14.4" x14ac:dyDescent="0.3">
      <c r="A443" s="189" t="str">
        <f ca="1">IFERROR(__xludf.DUMMYFUNCTION("""COMPUTED_VALUE"""),"DR")</f>
        <v>DR</v>
      </c>
      <c r="B443" s="195" t="str">
        <f ca="1">IFERROR(__xludf.DUMMYFUNCTION("""COMPUTED_VALUE"""),"Conor Stodel")</f>
        <v>Conor Stodel</v>
      </c>
      <c r="C443" s="189">
        <f ca="1">IFERROR(__xludf.DUMMYFUNCTION("""COMPUTED_VALUE"""),8)</f>
        <v>8</v>
      </c>
      <c r="D443" s="189" t="str">
        <f ca="1">IFERROR(__xludf.DUMMYFUNCTION("""COMPUTED_VALUE"""),"B")</f>
        <v>B</v>
      </c>
      <c r="E443" s="189" t="str">
        <f ca="1">IFERROR(__xludf.DUMMYFUNCTION("""COMPUTED_VALUE"""),"F")</f>
        <v>F</v>
      </c>
      <c r="F443" s="189" t="str">
        <f ca="1">IFERROR(__xludf.DUMMYFUNCTION("""COMPUTED_VALUE"""),"J")</f>
        <v>J</v>
      </c>
      <c r="G443" s="189">
        <f ca="1">IFERROR(__xludf.DUMMYFUNCTION("""COMPUTED_VALUE"""),1)</f>
        <v>1</v>
      </c>
      <c r="H443" s="196"/>
      <c r="I443" s="196"/>
      <c r="J443" s="196"/>
      <c r="K443" s="196"/>
      <c r="L443" s="196" t="str">
        <v/>
      </c>
      <c r="M443" s="196"/>
    </row>
    <row r="444" spans="1:13" ht="14.4" x14ac:dyDescent="0.3">
      <c r="A444" s="189" t="str">
        <f ca="1">IFERROR(__xludf.DUMMYFUNCTION("""COMPUTED_VALUE"""),"DR")</f>
        <v>DR</v>
      </c>
      <c r="B444" s="195" t="str">
        <f ca="1">IFERROR(__xludf.DUMMYFUNCTION("""COMPUTED_VALUE"""),"Desi Gellie")</f>
        <v>Desi Gellie</v>
      </c>
      <c r="C444" s="189">
        <f ca="1">IFERROR(__xludf.DUMMYFUNCTION("""COMPUTED_VALUE"""),10)</f>
        <v>10</v>
      </c>
      <c r="D444" s="189" t="str">
        <f ca="1">IFERROR(__xludf.DUMMYFUNCTION("""COMPUTED_VALUE"""),"B")</f>
        <v>B</v>
      </c>
      <c r="E444" s="189" t="str">
        <f ca="1">IFERROR(__xludf.DUMMYFUNCTION("""COMPUTED_VALUE"""),"F")</f>
        <v>F</v>
      </c>
      <c r="F444" s="189" t="str">
        <f ca="1">IFERROR(__xludf.DUMMYFUNCTION("""COMPUTED_VALUE"""),"J")</f>
        <v>J</v>
      </c>
      <c r="G444" s="189">
        <f ca="1">IFERROR(__xludf.DUMMYFUNCTION("""COMPUTED_VALUE"""),1)</f>
        <v>1</v>
      </c>
      <c r="H444" s="196"/>
      <c r="I444" s="196"/>
      <c r="J444" s="196"/>
      <c r="K444" s="196"/>
      <c r="L444" s="196" t="str">
        <v/>
      </c>
      <c r="M444" s="196"/>
    </row>
    <row r="445" spans="1:13" ht="14.4" x14ac:dyDescent="0.3">
      <c r="A445" s="189" t="str">
        <f ca="1">IFERROR(__xludf.DUMMYFUNCTION("""COMPUTED_VALUE"""),"DR")</f>
        <v>DR</v>
      </c>
      <c r="B445" s="195" t="str">
        <f ca="1">IFERROR(__xludf.DUMMYFUNCTION("""COMPUTED_VALUE"""),"Dex Weaver")</f>
        <v>Dex Weaver</v>
      </c>
      <c r="C445" s="189">
        <f ca="1">IFERROR(__xludf.DUMMYFUNCTION("""COMPUTED_VALUE"""),9)</f>
        <v>9</v>
      </c>
      <c r="D445" s="189" t="str">
        <f ca="1">IFERROR(__xludf.DUMMYFUNCTION("""COMPUTED_VALUE"""),"B")</f>
        <v>B</v>
      </c>
      <c r="E445" s="189" t="str">
        <f ca="1">IFERROR(__xludf.DUMMYFUNCTION("""COMPUTED_VALUE"""),"F")</f>
        <v>F</v>
      </c>
      <c r="F445" s="189" t="str">
        <f ca="1">IFERROR(__xludf.DUMMYFUNCTION("""COMPUTED_VALUE"""),"J")</f>
        <v>J</v>
      </c>
      <c r="G445" s="189">
        <f ca="1">IFERROR(__xludf.DUMMYFUNCTION("""COMPUTED_VALUE"""),1)</f>
        <v>1</v>
      </c>
      <c r="H445" s="196"/>
      <c r="I445" s="196"/>
      <c r="J445" s="196"/>
      <c r="K445" s="196"/>
      <c r="L445" s="196" t="str">
        <v/>
      </c>
      <c r="M445" s="196"/>
    </row>
    <row r="446" spans="1:13" ht="14.4" x14ac:dyDescent="0.3">
      <c r="A446" s="189" t="str">
        <f ca="1">IFERROR(__xludf.DUMMYFUNCTION("""COMPUTED_VALUE"""),"DR")</f>
        <v>DR</v>
      </c>
      <c r="B446" s="195" t="str">
        <f ca="1">IFERROR(__xludf.DUMMYFUNCTION("""COMPUTED_VALUE"""),"Edgar Benson")</f>
        <v>Edgar Benson</v>
      </c>
      <c r="C446" s="189">
        <f ca="1">IFERROR(__xludf.DUMMYFUNCTION("""COMPUTED_VALUE"""),6)</f>
        <v>6</v>
      </c>
      <c r="D446" s="189" t="str">
        <f ca="1">IFERROR(__xludf.DUMMYFUNCTION("""COMPUTED_VALUE"""),"B")</f>
        <v>B</v>
      </c>
      <c r="E446" s="189" t="str">
        <f ca="1">IFERROR(__xludf.DUMMYFUNCTION("""COMPUTED_VALUE"""),"F")</f>
        <v>F</v>
      </c>
      <c r="F446" s="189" t="str">
        <f ca="1">IFERROR(__xludf.DUMMYFUNCTION("""COMPUTED_VALUE"""),"J")</f>
        <v>J</v>
      </c>
      <c r="G446" s="189">
        <f ca="1">IFERROR(__xludf.DUMMYFUNCTION("""COMPUTED_VALUE"""),1)</f>
        <v>1</v>
      </c>
      <c r="H446" s="196"/>
      <c r="I446" s="196"/>
      <c r="J446" s="196"/>
      <c r="K446" s="196"/>
      <c r="L446" s="196" t="str">
        <v/>
      </c>
      <c r="M446" s="196"/>
    </row>
    <row r="447" spans="1:13" ht="14.4" x14ac:dyDescent="0.3">
      <c r="A447" s="189" t="str">
        <f ca="1">IFERROR(__xludf.DUMMYFUNCTION("""COMPUTED_VALUE"""),"DR")</f>
        <v>DR</v>
      </c>
      <c r="B447" s="195" t="str">
        <f ca="1">IFERROR(__xludf.DUMMYFUNCTION("""COMPUTED_VALUE"""),"George Root")</f>
        <v>George Root</v>
      </c>
      <c r="C447" s="189">
        <f ca="1">IFERROR(__xludf.DUMMYFUNCTION("""COMPUTED_VALUE"""),7)</f>
        <v>7</v>
      </c>
      <c r="D447" s="189" t="str">
        <f ca="1">IFERROR(__xludf.DUMMYFUNCTION("""COMPUTED_VALUE"""),"B")</f>
        <v>B</v>
      </c>
      <c r="E447" s="189" t="str">
        <f ca="1">IFERROR(__xludf.DUMMYFUNCTION("""COMPUTED_VALUE"""),"F")</f>
        <v>F</v>
      </c>
      <c r="F447" s="189" t="str">
        <f ca="1">IFERROR(__xludf.DUMMYFUNCTION("""COMPUTED_VALUE"""),"J")</f>
        <v>J</v>
      </c>
      <c r="G447" s="189">
        <f ca="1">IFERROR(__xludf.DUMMYFUNCTION("""COMPUTED_VALUE"""),1)</f>
        <v>1</v>
      </c>
      <c r="H447" s="196"/>
      <c r="I447" s="196"/>
      <c r="J447" s="196"/>
      <c r="K447" s="196"/>
      <c r="L447" s="196" t="str">
        <v/>
      </c>
      <c r="M447" s="196"/>
    </row>
    <row r="448" spans="1:13" ht="14.4" x14ac:dyDescent="0.3">
      <c r="A448" s="189" t="str">
        <f ca="1">IFERROR(__xludf.DUMMYFUNCTION("""COMPUTED_VALUE"""),"DR")</f>
        <v>DR</v>
      </c>
      <c r="B448" s="195" t="str">
        <f ca="1">IFERROR(__xludf.DUMMYFUNCTION("""COMPUTED_VALUE"""),"Grant Scialpi")</f>
        <v>Grant Scialpi</v>
      </c>
      <c r="C448" s="189">
        <f ca="1">IFERROR(__xludf.DUMMYFUNCTION("""COMPUTED_VALUE"""),9)</f>
        <v>9</v>
      </c>
      <c r="D448" s="189" t="str">
        <f ca="1">IFERROR(__xludf.DUMMYFUNCTION("""COMPUTED_VALUE"""),"B")</f>
        <v>B</v>
      </c>
      <c r="E448" s="189" t="str">
        <f ca="1">IFERROR(__xludf.DUMMYFUNCTION("""COMPUTED_VALUE"""),"F")</f>
        <v>F</v>
      </c>
      <c r="F448" s="189" t="str">
        <f ca="1">IFERROR(__xludf.DUMMYFUNCTION("""COMPUTED_VALUE"""),"J")</f>
        <v>J</v>
      </c>
      <c r="G448" s="189">
        <f ca="1">IFERROR(__xludf.DUMMYFUNCTION("""COMPUTED_VALUE"""),1)</f>
        <v>1</v>
      </c>
      <c r="H448" s="196"/>
      <c r="I448" s="196"/>
      <c r="J448" s="196"/>
      <c r="K448" s="196"/>
      <c r="L448" s="196" t="str">
        <v/>
      </c>
      <c r="M448" s="196"/>
    </row>
    <row r="449" spans="1:13" ht="14.4" x14ac:dyDescent="0.3">
      <c r="A449" s="189" t="str">
        <f ca="1">IFERROR(__xludf.DUMMYFUNCTION("""COMPUTED_VALUE"""),"DR")</f>
        <v>DR</v>
      </c>
      <c r="B449" s="195" t="str">
        <f ca="1">IFERROR(__xludf.DUMMYFUNCTION("""COMPUTED_VALUE"""),"Grayson Marsh")</f>
        <v>Grayson Marsh</v>
      </c>
      <c r="C449" s="189">
        <f ca="1">IFERROR(__xludf.DUMMYFUNCTION("""COMPUTED_VALUE"""),9)</f>
        <v>9</v>
      </c>
      <c r="D449" s="189" t="str">
        <f ca="1">IFERROR(__xludf.DUMMYFUNCTION("""COMPUTED_VALUE"""),"B")</f>
        <v>B</v>
      </c>
      <c r="E449" s="189" t="str">
        <f ca="1">IFERROR(__xludf.DUMMYFUNCTION("""COMPUTED_VALUE"""),"F")</f>
        <v>F</v>
      </c>
      <c r="F449" s="189" t="str">
        <f ca="1">IFERROR(__xludf.DUMMYFUNCTION("""COMPUTED_VALUE"""),"J")</f>
        <v>J</v>
      </c>
      <c r="G449" s="189">
        <f ca="1">IFERROR(__xludf.DUMMYFUNCTION("""COMPUTED_VALUE"""),1)</f>
        <v>1</v>
      </c>
      <c r="H449" s="196"/>
      <c r="I449" s="196"/>
      <c r="J449" s="196"/>
      <c r="K449" s="196"/>
      <c r="L449" s="196" t="str">
        <v/>
      </c>
      <c r="M449" s="196"/>
    </row>
    <row r="450" spans="1:13" ht="14.4" x14ac:dyDescent="0.3">
      <c r="A450" s="189" t="str">
        <f ca="1">IFERROR(__xludf.DUMMYFUNCTION("""COMPUTED_VALUE"""),"DR")</f>
        <v>DR</v>
      </c>
      <c r="B450" s="195" t="str">
        <f ca="1">IFERROR(__xludf.DUMMYFUNCTION("""COMPUTED_VALUE"""),"Hunter Sheldon")</f>
        <v>Hunter Sheldon</v>
      </c>
      <c r="C450" s="189">
        <f ca="1">IFERROR(__xludf.DUMMYFUNCTION("""COMPUTED_VALUE"""),10)</f>
        <v>10</v>
      </c>
      <c r="D450" s="189" t="str">
        <f ca="1">IFERROR(__xludf.DUMMYFUNCTION("""COMPUTED_VALUE"""),"B")</f>
        <v>B</v>
      </c>
      <c r="E450" s="189" t="str">
        <f ca="1">IFERROR(__xludf.DUMMYFUNCTION("""COMPUTED_VALUE"""),"F")</f>
        <v>F</v>
      </c>
      <c r="F450" s="189" t="str">
        <f ca="1">IFERROR(__xludf.DUMMYFUNCTION("""COMPUTED_VALUE"""),"J")</f>
        <v>J</v>
      </c>
      <c r="G450" s="189">
        <f ca="1">IFERROR(__xludf.DUMMYFUNCTION("""COMPUTED_VALUE"""),1)</f>
        <v>1</v>
      </c>
      <c r="H450" s="196"/>
      <c r="I450" s="196"/>
      <c r="J450" s="196"/>
      <c r="K450" s="196"/>
      <c r="L450" s="196" t="str">
        <v/>
      </c>
      <c r="M450" s="196"/>
    </row>
    <row r="451" spans="1:13" ht="14.4" x14ac:dyDescent="0.3">
      <c r="A451" s="189" t="str">
        <f ca="1">IFERROR(__xludf.DUMMYFUNCTION("""COMPUTED_VALUE"""),"DR")</f>
        <v>DR</v>
      </c>
      <c r="B451" s="195" t="str">
        <f ca="1">IFERROR(__xludf.DUMMYFUNCTION("""COMPUTED_VALUE"""),"Hunter Simms")</f>
        <v>Hunter Simms</v>
      </c>
      <c r="C451" s="189">
        <f ca="1">IFERROR(__xludf.DUMMYFUNCTION("""COMPUTED_VALUE"""),8)</f>
        <v>8</v>
      </c>
      <c r="D451" s="189" t="str">
        <f ca="1">IFERROR(__xludf.DUMMYFUNCTION("""COMPUTED_VALUE"""),"B")</f>
        <v>B</v>
      </c>
      <c r="E451" s="189" t="str">
        <f ca="1">IFERROR(__xludf.DUMMYFUNCTION("""COMPUTED_VALUE"""),"F")</f>
        <v>F</v>
      </c>
      <c r="F451" s="189" t="str">
        <f ca="1">IFERROR(__xludf.DUMMYFUNCTION("""COMPUTED_VALUE"""),"J")</f>
        <v>J</v>
      </c>
      <c r="G451" s="189">
        <f ca="1">IFERROR(__xludf.DUMMYFUNCTION("""COMPUTED_VALUE"""),1)</f>
        <v>1</v>
      </c>
      <c r="H451" s="196" t="s">
        <v>202</v>
      </c>
      <c r="I451" s="196"/>
      <c r="J451" s="196" t="s">
        <v>29</v>
      </c>
      <c r="K451" s="196"/>
      <c r="L451" s="196" t="str">
        <v xml:space="preserve"> 48.40</v>
      </c>
      <c r="M451" s="196"/>
    </row>
    <row r="452" spans="1:13" ht="14.4" x14ac:dyDescent="0.3">
      <c r="A452" s="189" t="str">
        <f ca="1">IFERROR(__xludf.DUMMYFUNCTION("""COMPUTED_VALUE"""),"DR")</f>
        <v>DR</v>
      </c>
      <c r="B452" s="195" t="str">
        <f ca="1">IFERROR(__xludf.DUMMYFUNCTION("""COMPUTED_VALUE"""),"Jax Wallace")</f>
        <v>Jax Wallace</v>
      </c>
      <c r="C452" s="189">
        <f ca="1">IFERROR(__xludf.DUMMYFUNCTION("""COMPUTED_VALUE"""),9)</f>
        <v>9</v>
      </c>
      <c r="D452" s="189" t="str">
        <f ca="1">IFERROR(__xludf.DUMMYFUNCTION("""COMPUTED_VALUE"""),"B")</f>
        <v>B</v>
      </c>
      <c r="E452" s="189" t="str">
        <f ca="1">IFERROR(__xludf.DUMMYFUNCTION("""COMPUTED_VALUE"""),"F")</f>
        <v>F</v>
      </c>
      <c r="F452" s="189" t="str">
        <f ca="1">IFERROR(__xludf.DUMMYFUNCTION("""COMPUTED_VALUE"""),"J")</f>
        <v>J</v>
      </c>
      <c r="G452" s="189">
        <f ca="1">IFERROR(__xludf.DUMMYFUNCTION("""COMPUTED_VALUE"""),1)</f>
        <v>1</v>
      </c>
      <c r="H452" s="196"/>
      <c r="I452" s="196"/>
      <c r="J452" s="196"/>
      <c r="K452" s="196"/>
      <c r="L452" s="196" t="str">
        <v/>
      </c>
      <c r="M452" s="196"/>
    </row>
    <row r="453" spans="1:13" ht="14.4" x14ac:dyDescent="0.3">
      <c r="A453" s="189" t="str">
        <f ca="1">IFERROR(__xludf.DUMMYFUNCTION("""COMPUTED_VALUE"""),"DR")</f>
        <v>DR</v>
      </c>
      <c r="B453" s="195" t="str">
        <f ca="1">IFERROR(__xludf.DUMMYFUNCTION("""COMPUTED_VALUE"""),"Lachlan Gellie")</f>
        <v>Lachlan Gellie</v>
      </c>
      <c r="C453" s="189">
        <f ca="1">IFERROR(__xludf.DUMMYFUNCTION("""COMPUTED_VALUE"""),8)</f>
        <v>8</v>
      </c>
      <c r="D453" s="189" t="str">
        <f ca="1">IFERROR(__xludf.DUMMYFUNCTION("""COMPUTED_VALUE"""),"B")</f>
        <v>B</v>
      </c>
      <c r="E453" s="189" t="str">
        <f ca="1">IFERROR(__xludf.DUMMYFUNCTION("""COMPUTED_VALUE"""),"F")</f>
        <v>F</v>
      </c>
      <c r="F453" s="189" t="str">
        <f ca="1">IFERROR(__xludf.DUMMYFUNCTION("""COMPUTED_VALUE"""),"J")</f>
        <v>J</v>
      </c>
      <c r="G453" s="189">
        <f ca="1">IFERROR(__xludf.DUMMYFUNCTION("""COMPUTED_VALUE"""),1)</f>
        <v>1</v>
      </c>
      <c r="H453" s="196"/>
      <c r="I453" s="196"/>
      <c r="J453" s="196"/>
      <c r="K453" s="196"/>
      <c r="L453" s="196" t="str">
        <v/>
      </c>
      <c r="M453" s="196"/>
    </row>
    <row r="454" spans="1:13" ht="14.4" x14ac:dyDescent="0.3">
      <c r="A454" s="189" t="str">
        <f ca="1">IFERROR(__xludf.DUMMYFUNCTION("""COMPUTED_VALUE"""),"DR")</f>
        <v>DR</v>
      </c>
      <c r="B454" s="195" t="str">
        <f ca="1">IFERROR(__xludf.DUMMYFUNCTION("""COMPUTED_VALUE"""),"Late Entry")</f>
        <v>Late Entry</v>
      </c>
      <c r="C454" s="189">
        <f ca="1">IFERROR(__xludf.DUMMYFUNCTION("""COMPUTED_VALUE"""),6)</f>
        <v>6</v>
      </c>
      <c r="D454" s="189" t="str">
        <f ca="1">IFERROR(__xludf.DUMMYFUNCTION("""COMPUTED_VALUE"""),"B")</f>
        <v>B</v>
      </c>
      <c r="E454" s="189" t="str">
        <f ca="1">IFERROR(__xludf.DUMMYFUNCTION("""COMPUTED_VALUE"""),"F")</f>
        <v>F</v>
      </c>
      <c r="F454" s="189" t="str">
        <f ca="1">IFERROR(__xludf.DUMMYFUNCTION("""COMPUTED_VALUE"""),"J")</f>
        <v>J</v>
      </c>
      <c r="G454" s="189">
        <f ca="1">IFERROR(__xludf.DUMMYFUNCTION("""COMPUTED_VALUE"""),1)</f>
        <v>1</v>
      </c>
      <c r="H454" s="196"/>
      <c r="I454" s="196"/>
      <c r="J454" s="196"/>
      <c r="K454" s="196"/>
      <c r="L454" s="196" t="str">
        <v/>
      </c>
      <c r="M454" s="196"/>
    </row>
    <row r="455" spans="1:13" ht="14.4" x14ac:dyDescent="0.3">
      <c r="A455" s="189" t="str">
        <f ca="1">IFERROR(__xludf.DUMMYFUNCTION("""COMPUTED_VALUE"""),"DR")</f>
        <v>DR</v>
      </c>
      <c r="B455" s="195" t="str">
        <f ca="1">IFERROR(__xludf.DUMMYFUNCTION("""COMPUTED_VALUE"""),"Luke Bracken")</f>
        <v>Luke Bracken</v>
      </c>
      <c r="C455" s="189">
        <f ca="1">IFERROR(__xludf.DUMMYFUNCTION("""COMPUTED_VALUE"""),9)</f>
        <v>9</v>
      </c>
      <c r="D455" s="189" t="str">
        <f ca="1">IFERROR(__xludf.DUMMYFUNCTION("""COMPUTED_VALUE"""),"B")</f>
        <v>B</v>
      </c>
      <c r="E455" s="189" t="str">
        <f ca="1">IFERROR(__xludf.DUMMYFUNCTION("""COMPUTED_VALUE"""),"F")</f>
        <v>F</v>
      </c>
      <c r="F455" s="189" t="str">
        <f ca="1">IFERROR(__xludf.DUMMYFUNCTION("""COMPUTED_VALUE"""),"J")</f>
        <v>J</v>
      </c>
      <c r="G455" s="189">
        <f ca="1">IFERROR(__xludf.DUMMYFUNCTION("""COMPUTED_VALUE"""),1)</f>
        <v>1</v>
      </c>
      <c r="H455" s="196"/>
      <c r="I455" s="196"/>
      <c r="J455" s="196"/>
      <c r="K455" s="196"/>
      <c r="L455" s="196" t="str">
        <v/>
      </c>
      <c r="M455" s="196"/>
    </row>
    <row r="456" spans="1:13" ht="14.4" x14ac:dyDescent="0.3">
      <c r="A456" s="189" t="str">
        <f ca="1">IFERROR(__xludf.DUMMYFUNCTION("""COMPUTED_VALUE"""),"DR")</f>
        <v>DR</v>
      </c>
      <c r="B456" s="195" t="str">
        <f ca="1">IFERROR(__xludf.DUMMYFUNCTION("""COMPUTED_VALUE"""),"Luke Brannan")</f>
        <v>Luke Brannan</v>
      </c>
      <c r="C456" s="189">
        <f ca="1">IFERROR(__xludf.DUMMYFUNCTION("""COMPUTED_VALUE"""),9)</f>
        <v>9</v>
      </c>
      <c r="D456" s="189" t="str">
        <f ca="1">IFERROR(__xludf.DUMMYFUNCTION("""COMPUTED_VALUE"""),"B")</f>
        <v>B</v>
      </c>
      <c r="E456" s="189" t="str">
        <f ca="1">IFERROR(__xludf.DUMMYFUNCTION("""COMPUTED_VALUE"""),"F")</f>
        <v>F</v>
      </c>
      <c r="F456" s="189" t="str">
        <f ca="1">IFERROR(__xludf.DUMMYFUNCTION("""COMPUTED_VALUE"""),"J")</f>
        <v>J</v>
      </c>
      <c r="G456" s="189">
        <f ca="1">IFERROR(__xludf.DUMMYFUNCTION("""COMPUTED_VALUE"""),1)</f>
        <v>1</v>
      </c>
      <c r="H456" s="196" t="s">
        <v>203</v>
      </c>
      <c r="I456" s="196"/>
      <c r="J456" s="196" t="s">
        <v>29</v>
      </c>
      <c r="K456" s="196"/>
      <c r="L456" s="196" t="str">
        <v xml:space="preserve"> 53.50</v>
      </c>
      <c r="M456" s="196"/>
    </row>
    <row r="457" spans="1:13" ht="14.4" x14ac:dyDescent="0.3">
      <c r="A457" s="189" t="str">
        <f ca="1">IFERROR(__xludf.DUMMYFUNCTION("""COMPUTED_VALUE"""),"DR")</f>
        <v>DR</v>
      </c>
      <c r="B457" s="195" t="str">
        <f ca="1">IFERROR(__xludf.DUMMYFUNCTION("""COMPUTED_VALUE"""),"Markus Krumins")</f>
        <v>Markus Krumins</v>
      </c>
      <c r="C457" s="189">
        <f ca="1">IFERROR(__xludf.DUMMYFUNCTION("""COMPUTED_VALUE"""),9)</f>
        <v>9</v>
      </c>
      <c r="D457" s="189" t="str">
        <f ca="1">IFERROR(__xludf.DUMMYFUNCTION("""COMPUTED_VALUE"""),"B")</f>
        <v>B</v>
      </c>
      <c r="E457" s="189" t="str">
        <f ca="1">IFERROR(__xludf.DUMMYFUNCTION("""COMPUTED_VALUE"""),"F")</f>
        <v>F</v>
      </c>
      <c r="F457" s="189" t="str">
        <f ca="1">IFERROR(__xludf.DUMMYFUNCTION("""COMPUTED_VALUE"""),"J")</f>
        <v>J</v>
      </c>
      <c r="G457" s="189">
        <f ca="1">IFERROR(__xludf.DUMMYFUNCTION("""COMPUTED_VALUE"""),1)</f>
        <v>1</v>
      </c>
      <c r="H457" s="196" t="s">
        <v>204</v>
      </c>
      <c r="I457" s="196"/>
      <c r="J457" s="196" t="s">
        <v>29</v>
      </c>
      <c r="K457" s="196"/>
      <c r="L457" s="196" t="str">
        <v xml:space="preserve"> 53.90</v>
      </c>
      <c r="M457" s="196"/>
    </row>
    <row r="458" spans="1:13" ht="14.4" x14ac:dyDescent="0.3">
      <c r="A458" s="189" t="str">
        <f ca="1">IFERROR(__xludf.DUMMYFUNCTION("""COMPUTED_VALUE"""),"DR")</f>
        <v>DR</v>
      </c>
      <c r="B458" s="195" t="str">
        <f ca="1">IFERROR(__xludf.DUMMYFUNCTION("""COMPUTED_VALUE"""),"Naveen Saxena")</f>
        <v>Naveen Saxena</v>
      </c>
      <c r="C458" s="189">
        <f ca="1">IFERROR(__xludf.DUMMYFUNCTION("""COMPUTED_VALUE"""),10)</f>
        <v>10</v>
      </c>
      <c r="D458" s="189" t="str">
        <f ca="1">IFERROR(__xludf.DUMMYFUNCTION("""COMPUTED_VALUE"""),"B")</f>
        <v>B</v>
      </c>
      <c r="E458" s="189" t="str">
        <f ca="1">IFERROR(__xludf.DUMMYFUNCTION("""COMPUTED_VALUE"""),"F")</f>
        <v>F</v>
      </c>
      <c r="F458" s="189" t="str">
        <f ca="1">IFERROR(__xludf.DUMMYFUNCTION("""COMPUTED_VALUE"""),"J")</f>
        <v>J</v>
      </c>
      <c r="G458" s="189">
        <f ca="1">IFERROR(__xludf.DUMMYFUNCTION("""COMPUTED_VALUE"""),1)</f>
        <v>1</v>
      </c>
      <c r="H458" s="196"/>
      <c r="I458" s="196"/>
      <c r="J458" s="196"/>
      <c r="K458" s="196"/>
      <c r="L458" s="196" t="str">
        <v/>
      </c>
      <c r="M458" s="196"/>
    </row>
    <row r="459" spans="1:13" ht="14.4" x14ac:dyDescent="0.3">
      <c r="A459" s="189" t="str">
        <f ca="1">IFERROR(__xludf.DUMMYFUNCTION("""COMPUTED_VALUE"""),"DR")</f>
        <v>DR</v>
      </c>
      <c r="B459" s="195" t="str">
        <f ca="1">IFERROR(__xludf.DUMMYFUNCTION("""COMPUTED_VALUE"""),"Oliver Rosenberg")</f>
        <v>Oliver Rosenberg</v>
      </c>
      <c r="C459" s="189">
        <f ca="1">IFERROR(__xludf.DUMMYFUNCTION("""COMPUTED_VALUE"""),8)</f>
        <v>8</v>
      </c>
      <c r="D459" s="189" t="str">
        <f ca="1">IFERROR(__xludf.DUMMYFUNCTION("""COMPUTED_VALUE"""),"B")</f>
        <v>B</v>
      </c>
      <c r="E459" s="189" t="str">
        <f ca="1">IFERROR(__xludf.DUMMYFUNCTION("""COMPUTED_VALUE"""),"F")</f>
        <v>F</v>
      </c>
      <c r="F459" s="189" t="str">
        <f ca="1">IFERROR(__xludf.DUMMYFUNCTION("""COMPUTED_VALUE"""),"J")</f>
        <v>J</v>
      </c>
      <c r="G459" s="189">
        <f ca="1">IFERROR(__xludf.DUMMYFUNCTION("""COMPUTED_VALUE"""),1)</f>
        <v>1</v>
      </c>
      <c r="H459" s="196"/>
      <c r="I459" s="196"/>
      <c r="J459" s="196"/>
      <c r="K459" s="196"/>
      <c r="L459" s="196" t="str">
        <v/>
      </c>
      <c r="M459" s="196"/>
    </row>
    <row r="460" spans="1:13" ht="14.4" x14ac:dyDescent="0.3">
      <c r="A460" s="189" t="str">
        <f ca="1">IFERROR(__xludf.DUMMYFUNCTION("""COMPUTED_VALUE"""),"DR")</f>
        <v>DR</v>
      </c>
      <c r="B460" s="195" t="str">
        <f ca="1">IFERROR(__xludf.DUMMYFUNCTION("""COMPUTED_VALUE"""),"Oliver Shum-Sanders")</f>
        <v>Oliver Shum-Sanders</v>
      </c>
      <c r="C460" s="189">
        <f ca="1">IFERROR(__xludf.DUMMYFUNCTION("""COMPUTED_VALUE"""),10)</f>
        <v>10</v>
      </c>
      <c r="D460" s="189" t="str">
        <f ca="1">IFERROR(__xludf.DUMMYFUNCTION("""COMPUTED_VALUE"""),"B")</f>
        <v>B</v>
      </c>
      <c r="E460" s="189" t="str">
        <f ca="1">IFERROR(__xludf.DUMMYFUNCTION("""COMPUTED_VALUE"""),"F")</f>
        <v>F</v>
      </c>
      <c r="F460" s="189" t="str">
        <f ca="1">IFERROR(__xludf.DUMMYFUNCTION("""COMPUTED_VALUE"""),"J")</f>
        <v>J</v>
      </c>
      <c r="G460" s="189">
        <f ca="1">IFERROR(__xludf.DUMMYFUNCTION("""COMPUTED_VALUE"""),1)</f>
        <v>1</v>
      </c>
      <c r="H460" s="196"/>
      <c r="I460" s="196"/>
      <c r="J460" s="196"/>
      <c r="K460" s="196"/>
      <c r="L460" s="196" t="str">
        <v/>
      </c>
      <c r="M460" s="196"/>
    </row>
    <row r="461" spans="1:13" ht="14.4" x14ac:dyDescent="0.3">
      <c r="A461" s="189" t="str">
        <f ca="1">IFERROR(__xludf.DUMMYFUNCTION("""COMPUTED_VALUE"""),"DR")</f>
        <v>DR</v>
      </c>
      <c r="B461" s="195" t="str">
        <f ca="1">IFERROR(__xludf.DUMMYFUNCTION("""COMPUTED_VALUE"""),"Sam Thoman")</f>
        <v>Sam Thoman</v>
      </c>
      <c r="C461" s="189">
        <f ca="1">IFERROR(__xludf.DUMMYFUNCTION("""COMPUTED_VALUE"""),10)</f>
        <v>10</v>
      </c>
      <c r="D461" s="189" t="str">
        <f ca="1">IFERROR(__xludf.DUMMYFUNCTION("""COMPUTED_VALUE"""),"B")</f>
        <v>B</v>
      </c>
      <c r="E461" s="189" t="str">
        <f ca="1">IFERROR(__xludf.DUMMYFUNCTION("""COMPUTED_VALUE"""),"F")</f>
        <v>F</v>
      </c>
      <c r="F461" s="189" t="str">
        <f ca="1">IFERROR(__xludf.DUMMYFUNCTION("""COMPUTED_VALUE"""),"J")</f>
        <v>J</v>
      </c>
      <c r="G461" s="189">
        <f ca="1">IFERROR(__xludf.DUMMYFUNCTION("""COMPUTED_VALUE"""),1)</f>
        <v>1</v>
      </c>
      <c r="H461" s="196"/>
      <c r="I461" s="196"/>
      <c r="J461" s="196"/>
      <c r="K461" s="196"/>
      <c r="L461" s="196" t="str">
        <v/>
      </c>
      <c r="M461" s="196"/>
    </row>
    <row r="462" spans="1:13" ht="14.4" x14ac:dyDescent="0.3">
      <c r="A462" s="189" t="str">
        <f ca="1">IFERROR(__xludf.DUMMYFUNCTION("""COMPUTED_VALUE"""),"DR")</f>
        <v>DR</v>
      </c>
      <c r="B462" s="195" t="str">
        <f ca="1">IFERROR(__xludf.DUMMYFUNCTION("""COMPUTED_VALUE"""),"Silas Benson")</f>
        <v>Silas Benson</v>
      </c>
      <c r="C462" s="189">
        <f ca="1">IFERROR(__xludf.DUMMYFUNCTION("""COMPUTED_VALUE"""),9)</f>
        <v>9</v>
      </c>
      <c r="D462" s="189" t="str">
        <f ca="1">IFERROR(__xludf.DUMMYFUNCTION("""COMPUTED_VALUE"""),"B")</f>
        <v>B</v>
      </c>
      <c r="E462" s="189" t="str">
        <f ca="1">IFERROR(__xludf.DUMMYFUNCTION("""COMPUTED_VALUE"""),"F")</f>
        <v>F</v>
      </c>
      <c r="F462" s="189" t="str">
        <f ca="1">IFERROR(__xludf.DUMMYFUNCTION("""COMPUTED_VALUE"""),"J")</f>
        <v>J</v>
      </c>
      <c r="G462" s="189">
        <f ca="1">IFERROR(__xludf.DUMMYFUNCTION("""COMPUTED_VALUE"""),1)</f>
        <v>1</v>
      </c>
      <c r="H462" s="196"/>
      <c r="I462" s="196"/>
      <c r="J462" s="196"/>
      <c r="K462" s="196"/>
      <c r="L462" s="196" t="str">
        <v/>
      </c>
      <c r="M462" s="196"/>
    </row>
    <row r="463" spans="1:13" ht="14.4" x14ac:dyDescent="0.3">
      <c r="A463" s="189" t="str">
        <f ca="1">IFERROR(__xludf.DUMMYFUNCTION("""COMPUTED_VALUE"""),"DR")</f>
        <v>DR</v>
      </c>
      <c r="B463" s="195" t="str">
        <f ca="1">IFERROR(__xludf.DUMMYFUNCTION("""COMPUTED_VALUE"""),"Theo Shum-Sanders")</f>
        <v>Theo Shum-Sanders</v>
      </c>
      <c r="C463" s="189">
        <f ca="1">IFERROR(__xludf.DUMMYFUNCTION("""COMPUTED_VALUE"""),7)</f>
        <v>7</v>
      </c>
      <c r="D463" s="189" t="str">
        <f ca="1">IFERROR(__xludf.DUMMYFUNCTION("""COMPUTED_VALUE"""),"B")</f>
        <v>B</v>
      </c>
      <c r="E463" s="189" t="str">
        <f ca="1">IFERROR(__xludf.DUMMYFUNCTION("""COMPUTED_VALUE"""),"F")</f>
        <v>F</v>
      </c>
      <c r="F463" s="189" t="str">
        <f ca="1">IFERROR(__xludf.DUMMYFUNCTION("""COMPUTED_VALUE"""),"J")</f>
        <v>J</v>
      </c>
      <c r="G463" s="189">
        <f ca="1">IFERROR(__xludf.DUMMYFUNCTION("""COMPUTED_VALUE"""),1)</f>
        <v>1</v>
      </c>
      <c r="H463" s="196"/>
      <c r="I463" s="196"/>
      <c r="J463" s="196"/>
      <c r="K463" s="196"/>
      <c r="L463" s="196" t="str">
        <v/>
      </c>
      <c r="M463" s="196"/>
    </row>
    <row r="464" spans="1:13" ht="14.4" x14ac:dyDescent="0.3">
      <c r="A464" s="189" t="str">
        <f ca="1">IFERROR(__xludf.DUMMYFUNCTION("""COMPUTED_VALUE"""),"DR")</f>
        <v>DR</v>
      </c>
      <c r="B464" s="195" t="str">
        <f ca="1">IFERROR(__xludf.DUMMYFUNCTION("""COMPUTED_VALUE"""),"Thomas Scialpi")</f>
        <v>Thomas Scialpi</v>
      </c>
      <c r="C464" s="189">
        <f ca="1">IFERROR(__xludf.DUMMYFUNCTION("""COMPUTED_VALUE"""),6)</f>
        <v>6</v>
      </c>
      <c r="D464" s="189" t="str">
        <f ca="1">IFERROR(__xludf.DUMMYFUNCTION("""COMPUTED_VALUE"""),"B")</f>
        <v>B</v>
      </c>
      <c r="E464" s="189" t="str">
        <f ca="1">IFERROR(__xludf.DUMMYFUNCTION("""COMPUTED_VALUE"""),"F")</f>
        <v>F</v>
      </c>
      <c r="F464" s="189" t="str">
        <f ca="1">IFERROR(__xludf.DUMMYFUNCTION("""COMPUTED_VALUE"""),"J")</f>
        <v>J</v>
      </c>
      <c r="G464" s="189">
        <f ca="1">IFERROR(__xludf.DUMMYFUNCTION("""COMPUTED_VALUE"""),1)</f>
        <v>1</v>
      </c>
      <c r="H464" s="196"/>
      <c r="I464" s="196"/>
      <c r="J464" s="196"/>
      <c r="K464" s="196"/>
      <c r="L464" s="196" t="str">
        <v/>
      </c>
      <c r="M464" s="196"/>
    </row>
    <row r="465" spans="1:13" ht="14.4" x14ac:dyDescent="0.3">
      <c r="A465" s="189" t="str">
        <f ca="1">IFERROR(__xludf.DUMMYFUNCTION("""COMPUTED_VALUE"""),"DR")</f>
        <v>DR</v>
      </c>
      <c r="B465" s="195" t="str">
        <f ca="1">IFERROR(__xludf.DUMMYFUNCTION("""COMPUTED_VALUE"""),"Tripp Simms")</f>
        <v>Tripp Simms</v>
      </c>
      <c r="C465" s="189">
        <f ca="1">IFERROR(__xludf.DUMMYFUNCTION("""COMPUTED_VALUE"""),9)</f>
        <v>9</v>
      </c>
      <c r="D465" s="189" t="str">
        <f ca="1">IFERROR(__xludf.DUMMYFUNCTION("""COMPUTED_VALUE"""),"B")</f>
        <v>B</v>
      </c>
      <c r="E465" s="189" t="str">
        <f ca="1">IFERROR(__xludf.DUMMYFUNCTION("""COMPUTED_VALUE"""),"F")</f>
        <v>F</v>
      </c>
      <c r="F465" s="189" t="str">
        <f ca="1">IFERROR(__xludf.DUMMYFUNCTION("""COMPUTED_VALUE"""),"J")</f>
        <v>J</v>
      </c>
      <c r="G465" s="189">
        <f ca="1">IFERROR(__xludf.DUMMYFUNCTION("""COMPUTED_VALUE"""),1)</f>
        <v>1</v>
      </c>
      <c r="H465" s="196"/>
      <c r="I465" s="196"/>
      <c r="J465" s="196"/>
      <c r="K465" s="196"/>
      <c r="L465" s="196" t="str">
        <v/>
      </c>
      <c r="M465" s="196"/>
    </row>
    <row r="466" spans="1:13" ht="14.4" x14ac:dyDescent="0.3">
      <c r="A466" s="189" t="str">
        <f ca="1">IFERROR(__xludf.DUMMYFUNCTION("""COMPUTED_VALUE"""),"DR")</f>
        <v>DR</v>
      </c>
      <c r="B466" s="195" t="str">
        <f ca="1">IFERROR(__xludf.DUMMYFUNCTION("""COMPUTED_VALUE"""),"Will McCool")</f>
        <v>Will McCool</v>
      </c>
      <c r="C466" s="189">
        <f ca="1">IFERROR(__xludf.DUMMYFUNCTION("""COMPUTED_VALUE"""),10)</f>
        <v>10</v>
      </c>
      <c r="D466" s="189" t="str">
        <f ca="1">IFERROR(__xludf.DUMMYFUNCTION("""COMPUTED_VALUE"""),"B")</f>
        <v>B</v>
      </c>
      <c r="E466" s="189" t="str">
        <f ca="1">IFERROR(__xludf.DUMMYFUNCTION("""COMPUTED_VALUE"""),"F")</f>
        <v>F</v>
      </c>
      <c r="F466" s="189" t="str">
        <f ca="1">IFERROR(__xludf.DUMMYFUNCTION("""COMPUTED_VALUE"""),"J")</f>
        <v>J</v>
      </c>
      <c r="G466" s="189">
        <f ca="1">IFERROR(__xludf.DUMMYFUNCTION("""COMPUTED_VALUE"""),1)</f>
        <v>1</v>
      </c>
      <c r="H466" s="196" t="s">
        <v>205</v>
      </c>
      <c r="I466" s="196"/>
      <c r="J466" s="196" t="s">
        <v>29</v>
      </c>
      <c r="K466" s="196"/>
      <c r="L466" s="196" t="str">
        <v xml:space="preserve"> 75.65</v>
      </c>
      <c r="M466" s="196"/>
    </row>
    <row r="467" spans="1:13" ht="14.4" x14ac:dyDescent="0.3">
      <c r="A467" s="189" t="str">
        <f ca="1">IFERROR(__xludf.DUMMYFUNCTION("""COMPUTED_VALUE"""),"DR")</f>
        <v>DR</v>
      </c>
      <c r="B467" s="195" t="str">
        <f ca="1">IFERROR(__xludf.DUMMYFUNCTION("""COMPUTED_VALUE"""),"Nina Jaeckel")</f>
        <v>Nina Jaeckel</v>
      </c>
      <c r="C467" s="189">
        <f ca="1">IFERROR(__xludf.DUMMYFUNCTION("""COMPUTED_VALUE"""),14)</f>
        <v>14</v>
      </c>
      <c r="D467" s="189" t="str">
        <f ca="1">IFERROR(__xludf.DUMMYFUNCTION("""COMPUTED_VALUE"""),"G")</f>
        <v>G</v>
      </c>
      <c r="E467" s="189" t="str">
        <f ca="1">IFERROR(__xludf.DUMMYFUNCTION("""COMPUTED_VALUE"""),"I")</f>
        <v>I</v>
      </c>
      <c r="F467" s="189" t="str">
        <f ca="1">IFERROR(__xludf.DUMMYFUNCTION("""COMPUTED_VALUE"""),"S")</f>
        <v>S</v>
      </c>
      <c r="G467" s="189">
        <f ca="1">IFERROR(__xludf.DUMMYFUNCTION("""COMPUTED_VALUE"""),1)</f>
        <v>1</v>
      </c>
      <c r="H467" s="196"/>
      <c r="I467" s="196"/>
      <c r="J467" s="196"/>
      <c r="K467" s="196"/>
      <c r="L467" s="196" t="str">
        <v/>
      </c>
      <c r="M467" s="196"/>
    </row>
    <row r="468" spans="1:13" ht="14.4" x14ac:dyDescent="0.3">
      <c r="A468" s="189" t="str">
        <f ca="1">IFERROR(__xludf.DUMMYFUNCTION("""COMPUTED_VALUE"""),"DR")</f>
        <v>DR</v>
      </c>
      <c r="B468" s="195" t="str">
        <f ca="1">IFERROR(__xludf.DUMMYFUNCTION("""COMPUTED_VALUE"""),"Nora Elder")</f>
        <v>Nora Elder</v>
      </c>
      <c r="C468" s="189">
        <f ca="1">IFERROR(__xludf.DUMMYFUNCTION("""COMPUTED_VALUE"""),14)</f>
        <v>14</v>
      </c>
      <c r="D468" s="189" t="str">
        <f ca="1">IFERROR(__xludf.DUMMYFUNCTION("""COMPUTED_VALUE"""),"G")</f>
        <v>G</v>
      </c>
      <c r="E468" s="189" t="str">
        <f ca="1">IFERROR(__xludf.DUMMYFUNCTION("""COMPUTED_VALUE"""),"I")</f>
        <v>I</v>
      </c>
      <c r="F468" s="189" t="str">
        <f ca="1">IFERROR(__xludf.DUMMYFUNCTION("""COMPUTED_VALUE"""),"S")</f>
        <v>S</v>
      </c>
      <c r="G468" s="189">
        <f ca="1">IFERROR(__xludf.DUMMYFUNCTION("""COMPUTED_VALUE"""),1)</f>
        <v>1</v>
      </c>
      <c r="H468" s="196"/>
      <c r="I468" s="196"/>
      <c r="J468" s="196"/>
      <c r="K468" s="196"/>
      <c r="L468" s="196" t="str">
        <v/>
      </c>
      <c r="M468" s="196"/>
    </row>
    <row r="469" spans="1:13" ht="14.4" x14ac:dyDescent="0.3">
      <c r="A469" s="189" t="str">
        <f ca="1">IFERROR(__xludf.DUMMYFUNCTION("""COMPUTED_VALUE"""),"DR")</f>
        <v>DR</v>
      </c>
      <c r="B469" s="195" t="str">
        <f ca="1">IFERROR(__xludf.DUMMYFUNCTION("""COMPUTED_VALUE"""),"Sasha Ridgway")</f>
        <v>Sasha Ridgway</v>
      </c>
      <c r="C469" s="189">
        <f ca="1">IFERROR(__xludf.DUMMYFUNCTION("""COMPUTED_VALUE"""),14)</f>
        <v>14</v>
      </c>
      <c r="D469" s="189" t="str">
        <f ca="1">IFERROR(__xludf.DUMMYFUNCTION("""COMPUTED_VALUE"""),"G")</f>
        <v>G</v>
      </c>
      <c r="E469" s="189" t="str">
        <f ca="1">IFERROR(__xludf.DUMMYFUNCTION("""COMPUTED_VALUE"""),"I")</f>
        <v>I</v>
      </c>
      <c r="F469" s="189" t="str">
        <f ca="1">IFERROR(__xludf.DUMMYFUNCTION("""COMPUTED_VALUE"""),"S")</f>
        <v>S</v>
      </c>
      <c r="G469" s="189">
        <f ca="1">IFERROR(__xludf.DUMMYFUNCTION("""COMPUTED_VALUE"""),1)</f>
        <v>1</v>
      </c>
      <c r="H469" s="196"/>
      <c r="I469" s="196"/>
      <c r="J469" s="196"/>
      <c r="K469" s="196"/>
      <c r="L469" s="196" t="str">
        <v/>
      </c>
      <c r="M469" s="196"/>
    </row>
    <row r="470" spans="1:13" ht="14.4" x14ac:dyDescent="0.3">
      <c r="A470" s="189" t="str">
        <f ca="1">IFERROR(__xludf.DUMMYFUNCTION("""COMPUTED_VALUE"""),"DR")</f>
        <v>DR</v>
      </c>
      <c r="B470" s="195" t="str">
        <f ca="1">IFERROR(__xludf.DUMMYFUNCTION("""COMPUTED_VALUE"""),"Taylor McDonnell")</f>
        <v>Taylor McDonnell</v>
      </c>
      <c r="C470" s="189">
        <f ca="1">IFERROR(__xludf.DUMMYFUNCTION("""COMPUTED_VALUE"""),13)</f>
        <v>13</v>
      </c>
      <c r="D470" s="189" t="str">
        <f ca="1">IFERROR(__xludf.DUMMYFUNCTION("""COMPUTED_VALUE"""),"G")</f>
        <v>G</v>
      </c>
      <c r="E470" s="189" t="str">
        <f ca="1">IFERROR(__xludf.DUMMYFUNCTION("""COMPUTED_VALUE"""),"I")</f>
        <v>I</v>
      </c>
      <c r="F470" s="189" t="str">
        <f ca="1">IFERROR(__xludf.DUMMYFUNCTION("""COMPUTED_VALUE"""),"S")</f>
        <v>S</v>
      </c>
      <c r="G470" s="189">
        <f ca="1">IFERROR(__xludf.DUMMYFUNCTION("""COMPUTED_VALUE"""),1)</f>
        <v>1</v>
      </c>
      <c r="H470" s="196" t="s">
        <v>206</v>
      </c>
      <c r="I470" s="196"/>
      <c r="J470" s="196" t="s">
        <v>29</v>
      </c>
      <c r="K470" s="196"/>
      <c r="L470" s="196" t="str">
        <v xml:space="preserve"> 139.40</v>
      </c>
      <c r="M470" s="196"/>
    </row>
    <row r="471" spans="1:13" ht="14.4" x14ac:dyDescent="0.3">
      <c r="A471" s="189" t="str">
        <f ca="1">IFERROR(__xludf.DUMMYFUNCTION("""COMPUTED_VALUE"""),"DR")</f>
        <v>DR</v>
      </c>
      <c r="B471" s="195" t="str">
        <f ca="1">IFERROR(__xludf.DUMMYFUNCTION("""COMPUTED_VALUE"""),"Carter Addison")</f>
        <v>Carter Addison</v>
      </c>
      <c r="C471" s="189">
        <f ca="1">IFERROR(__xludf.DUMMYFUNCTION("""COMPUTED_VALUE"""),13)</f>
        <v>13</v>
      </c>
      <c r="D471" s="189" t="str">
        <f ca="1">IFERROR(__xludf.DUMMYFUNCTION("""COMPUTED_VALUE"""),"B")</f>
        <v>B</v>
      </c>
      <c r="E471" s="189" t="str">
        <f ca="1">IFERROR(__xludf.DUMMYFUNCTION("""COMPUTED_VALUE"""),"I")</f>
        <v>I</v>
      </c>
      <c r="F471" s="189" t="str">
        <f ca="1">IFERROR(__xludf.DUMMYFUNCTION("""COMPUTED_VALUE"""),"S")</f>
        <v>S</v>
      </c>
      <c r="G471" s="189">
        <f ca="1">IFERROR(__xludf.DUMMYFUNCTION("""COMPUTED_VALUE"""),1)</f>
        <v>1</v>
      </c>
      <c r="H471" s="196"/>
      <c r="I471" s="196"/>
      <c r="J471" s="196"/>
      <c r="K471" s="196"/>
      <c r="L471" s="196" t="str">
        <v/>
      </c>
      <c r="M471" s="196"/>
    </row>
    <row r="472" spans="1:13" ht="14.4" x14ac:dyDescent="0.3">
      <c r="A472" s="189" t="str">
        <f ca="1">IFERROR(__xludf.DUMMYFUNCTION("""COMPUTED_VALUE"""),"DR")</f>
        <v>DR</v>
      </c>
      <c r="B472" s="195" t="str">
        <f ca="1">IFERROR(__xludf.DUMMYFUNCTION("""COMPUTED_VALUE"""),"Eli Chin-Fatt")</f>
        <v>Eli Chin-Fatt</v>
      </c>
      <c r="C472" s="189">
        <f ca="1">IFERROR(__xludf.DUMMYFUNCTION("""COMPUTED_VALUE"""),13)</f>
        <v>13</v>
      </c>
      <c r="D472" s="189" t="str">
        <f ca="1">IFERROR(__xludf.DUMMYFUNCTION("""COMPUTED_VALUE"""),"B")</f>
        <v>B</v>
      </c>
      <c r="E472" s="189" t="str">
        <f ca="1">IFERROR(__xludf.DUMMYFUNCTION("""COMPUTED_VALUE"""),"I")</f>
        <v>I</v>
      </c>
      <c r="F472" s="189" t="str">
        <f ca="1">IFERROR(__xludf.DUMMYFUNCTION("""COMPUTED_VALUE"""),"S")</f>
        <v>S</v>
      </c>
      <c r="G472" s="189">
        <f ca="1">IFERROR(__xludf.DUMMYFUNCTION("""COMPUTED_VALUE"""),1)</f>
        <v>1</v>
      </c>
      <c r="H472" s="196" t="s">
        <v>207</v>
      </c>
      <c r="I472" s="196"/>
      <c r="J472" s="196" t="s">
        <v>29</v>
      </c>
      <c r="K472" s="196"/>
      <c r="L472" s="196" t="str">
        <v xml:space="preserve"> 145.25</v>
      </c>
      <c r="M472" s="196"/>
    </row>
    <row r="473" spans="1:13" ht="14.4" x14ac:dyDescent="0.3">
      <c r="A473" s="189" t="str">
        <f ca="1">IFERROR(__xludf.DUMMYFUNCTION("""COMPUTED_VALUE"""),"DR")</f>
        <v>DR</v>
      </c>
      <c r="B473" s="195" t="str">
        <f ca="1">IFERROR(__xludf.DUMMYFUNCTION("""COMPUTED_VALUE"""),"Jack Englerth")</f>
        <v>Jack Englerth</v>
      </c>
      <c r="C473" s="189">
        <f ca="1">IFERROR(__xludf.DUMMYFUNCTION("""COMPUTED_VALUE"""),14)</f>
        <v>14</v>
      </c>
      <c r="D473" s="189" t="str">
        <f ca="1">IFERROR(__xludf.DUMMYFUNCTION("""COMPUTED_VALUE"""),"B")</f>
        <v>B</v>
      </c>
      <c r="E473" s="189" t="str">
        <f ca="1">IFERROR(__xludf.DUMMYFUNCTION("""COMPUTED_VALUE"""),"I")</f>
        <v>I</v>
      </c>
      <c r="F473" s="189" t="str">
        <f ca="1">IFERROR(__xludf.DUMMYFUNCTION("""COMPUTED_VALUE"""),"S")</f>
        <v>S</v>
      </c>
      <c r="G473" s="189">
        <f ca="1">IFERROR(__xludf.DUMMYFUNCTION("""COMPUTED_VALUE"""),1)</f>
        <v>1</v>
      </c>
      <c r="H473" s="196" t="s">
        <v>208</v>
      </c>
      <c r="I473" s="196"/>
      <c r="J473" s="196" t="s">
        <v>29</v>
      </c>
      <c r="K473" s="196"/>
      <c r="L473" s="196" t="str">
        <v xml:space="preserve"> 119.75</v>
      </c>
      <c r="M473" s="196"/>
    </row>
    <row r="474" spans="1:13" ht="14.4" x14ac:dyDescent="0.3">
      <c r="A474" s="189" t="str">
        <f ca="1">IFERROR(__xludf.DUMMYFUNCTION("""COMPUTED_VALUE"""),"DR")</f>
        <v>DR</v>
      </c>
      <c r="B474" s="195" t="str">
        <f ca="1">IFERROR(__xludf.DUMMYFUNCTION("""COMPUTED_VALUE"""),"Jett Bastow")</f>
        <v>Jett Bastow</v>
      </c>
      <c r="C474" s="189">
        <f ca="1">IFERROR(__xludf.DUMMYFUNCTION("""COMPUTED_VALUE"""),14)</f>
        <v>14</v>
      </c>
      <c r="D474" s="189" t="str">
        <f ca="1">IFERROR(__xludf.DUMMYFUNCTION("""COMPUTED_VALUE"""),"B")</f>
        <v>B</v>
      </c>
      <c r="E474" s="189" t="str">
        <f ca="1">IFERROR(__xludf.DUMMYFUNCTION("""COMPUTED_VALUE"""),"I")</f>
        <v>I</v>
      </c>
      <c r="F474" s="189" t="str">
        <f ca="1">IFERROR(__xludf.DUMMYFUNCTION("""COMPUTED_VALUE"""),"S")</f>
        <v>S</v>
      </c>
      <c r="G474" s="189">
        <f ca="1">IFERROR(__xludf.DUMMYFUNCTION("""COMPUTED_VALUE"""),1)</f>
        <v>1</v>
      </c>
      <c r="H474" s="196" t="s">
        <v>209</v>
      </c>
      <c r="I474" s="196"/>
      <c r="J474" s="196" t="s">
        <v>29</v>
      </c>
      <c r="K474" s="196"/>
      <c r="L474" s="196" t="str">
        <v xml:space="preserve"> 107.80</v>
      </c>
      <c r="M474" s="196"/>
    </row>
    <row r="475" spans="1:13" ht="14.4" x14ac:dyDescent="0.3">
      <c r="A475" s="189" t="str">
        <f ca="1">IFERROR(__xludf.DUMMYFUNCTION("""COMPUTED_VALUE"""),"DR")</f>
        <v>DR</v>
      </c>
      <c r="B475" s="195" t="str">
        <f ca="1">IFERROR(__xludf.DUMMYFUNCTION("""COMPUTED_VALUE"""),"Michael Staren")</f>
        <v>Michael Staren</v>
      </c>
      <c r="C475" s="189">
        <f ca="1">IFERROR(__xludf.DUMMYFUNCTION("""COMPUTED_VALUE"""),14)</f>
        <v>14</v>
      </c>
      <c r="D475" s="189" t="str">
        <f ca="1">IFERROR(__xludf.DUMMYFUNCTION("""COMPUTED_VALUE"""),"B")</f>
        <v>B</v>
      </c>
      <c r="E475" s="189" t="str">
        <f ca="1">IFERROR(__xludf.DUMMYFUNCTION("""COMPUTED_VALUE"""),"I")</f>
        <v>I</v>
      </c>
      <c r="F475" s="189" t="str">
        <f ca="1">IFERROR(__xludf.DUMMYFUNCTION("""COMPUTED_VALUE"""),"S")</f>
        <v>S</v>
      </c>
      <c r="G475" s="189">
        <f ca="1">IFERROR(__xludf.DUMMYFUNCTION("""COMPUTED_VALUE"""),1)</f>
        <v>1</v>
      </c>
      <c r="H475" s="196" t="s">
        <v>210</v>
      </c>
      <c r="I475" s="196"/>
      <c r="J475" s="196" t="s">
        <v>29</v>
      </c>
      <c r="K475" s="196"/>
      <c r="L475" s="196" t="str">
        <v xml:space="preserve"> 97.30</v>
      </c>
      <c r="M475" s="196"/>
    </row>
    <row r="476" spans="1:13" ht="14.4" x14ac:dyDescent="0.3">
      <c r="A476" s="189" t="str">
        <f ca="1">IFERROR(__xludf.DUMMYFUNCTION("""COMPUTED_VALUE"""),"DR")</f>
        <v>DR</v>
      </c>
      <c r="B476" s="195" t="str">
        <f ca="1">IFERROR(__xludf.DUMMYFUNCTION("""COMPUTED_VALUE"""),"Niko Klimek")</f>
        <v>Niko Klimek</v>
      </c>
      <c r="C476" s="189">
        <f ca="1">IFERROR(__xludf.DUMMYFUNCTION("""COMPUTED_VALUE"""),13)</f>
        <v>13</v>
      </c>
      <c r="D476" s="189" t="str">
        <f ca="1">IFERROR(__xludf.DUMMYFUNCTION("""COMPUTED_VALUE"""),"B")</f>
        <v>B</v>
      </c>
      <c r="E476" s="189" t="str">
        <f ca="1">IFERROR(__xludf.DUMMYFUNCTION("""COMPUTED_VALUE"""),"I")</f>
        <v>I</v>
      </c>
      <c r="F476" s="189" t="str">
        <f ca="1">IFERROR(__xludf.DUMMYFUNCTION("""COMPUTED_VALUE"""),"S")</f>
        <v>S</v>
      </c>
      <c r="G476" s="189">
        <f ca="1">IFERROR(__xludf.DUMMYFUNCTION("""COMPUTED_VALUE"""),1)</f>
        <v>1</v>
      </c>
      <c r="H476" s="196"/>
      <c r="I476" s="196"/>
      <c r="J476" s="196"/>
      <c r="K476" s="196"/>
      <c r="L476" s="196" t="str">
        <v/>
      </c>
      <c r="M476" s="196"/>
    </row>
    <row r="477" spans="1:13" ht="14.4" x14ac:dyDescent="0.3">
      <c r="A477" s="189" t="str">
        <f ca="1">IFERROR(__xludf.DUMMYFUNCTION("""COMPUTED_VALUE"""),"DR")</f>
        <v>DR</v>
      </c>
      <c r="B477" s="195" t="str">
        <f ca="1">IFERROR(__xludf.DUMMYFUNCTION("""COMPUTED_VALUE"""),"Todd Orvald")</f>
        <v>Todd Orvald</v>
      </c>
      <c r="C477" s="189">
        <f ca="1">IFERROR(__xludf.DUMMYFUNCTION("""COMPUTED_VALUE"""),13)</f>
        <v>13</v>
      </c>
      <c r="D477" s="189" t="str">
        <f ca="1">IFERROR(__xludf.DUMMYFUNCTION("""COMPUTED_VALUE"""),"B")</f>
        <v>B</v>
      </c>
      <c r="E477" s="189" t="str">
        <f ca="1">IFERROR(__xludf.DUMMYFUNCTION("""COMPUTED_VALUE"""),"I")</f>
        <v>I</v>
      </c>
      <c r="F477" s="189" t="str">
        <f ca="1">IFERROR(__xludf.DUMMYFUNCTION("""COMPUTED_VALUE"""),"S")</f>
        <v>S</v>
      </c>
      <c r="G477" s="189">
        <f ca="1">IFERROR(__xludf.DUMMYFUNCTION("""COMPUTED_VALUE"""),1)</f>
        <v>1</v>
      </c>
      <c r="H477" s="196" t="s">
        <v>211</v>
      </c>
      <c r="I477" s="196"/>
      <c r="J477" s="196" t="s">
        <v>29</v>
      </c>
      <c r="K477" s="196"/>
      <c r="L477" s="196" t="str">
        <v xml:space="preserve"> 120.60</v>
      </c>
      <c r="M477" s="196"/>
    </row>
    <row r="478" spans="1:13" ht="14.4" x14ac:dyDescent="0.3">
      <c r="A478" s="189" t="str">
        <f ca="1">IFERROR(__xludf.DUMMYFUNCTION("""COMPUTED_VALUE"""),"DR")</f>
        <v>DR</v>
      </c>
      <c r="B478" s="195" t="str">
        <f ca="1">IFERROR(__xludf.DUMMYFUNCTION("""COMPUTED_VALUE"""),"Vikram Martinez")</f>
        <v>Vikram Martinez</v>
      </c>
      <c r="C478" s="189">
        <f ca="1">IFERROR(__xludf.DUMMYFUNCTION("""COMPUTED_VALUE"""),14)</f>
        <v>14</v>
      </c>
      <c r="D478" s="189" t="str">
        <f ca="1">IFERROR(__xludf.DUMMYFUNCTION("""COMPUTED_VALUE"""),"B")</f>
        <v>B</v>
      </c>
      <c r="E478" s="189" t="str">
        <f ca="1">IFERROR(__xludf.DUMMYFUNCTION("""COMPUTED_VALUE"""),"I")</f>
        <v>I</v>
      </c>
      <c r="F478" s="189" t="str">
        <f ca="1">IFERROR(__xludf.DUMMYFUNCTION("""COMPUTED_VALUE"""),"S")</f>
        <v>S</v>
      </c>
      <c r="G478" s="189">
        <f ca="1">IFERROR(__xludf.DUMMYFUNCTION("""COMPUTED_VALUE"""),1)</f>
        <v>1</v>
      </c>
      <c r="H478" s="196" t="s">
        <v>212</v>
      </c>
      <c r="I478" s="196"/>
      <c r="J478" s="196" t="s">
        <v>29</v>
      </c>
      <c r="K478" s="196"/>
      <c r="L478" s="196" t="str">
        <v xml:space="preserve"> 101.00</v>
      </c>
      <c r="M478" s="196"/>
    </row>
    <row r="479" spans="1:13" ht="14.4" x14ac:dyDescent="0.3">
      <c r="A479" s="189" t="str">
        <f ca="1">IFERROR(__xludf.DUMMYFUNCTION("""COMPUTED_VALUE"""),"DR")</f>
        <v>DR</v>
      </c>
      <c r="B479" s="195" t="str">
        <f ca="1">IFERROR(__xludf.DUMMYFUNCTION("""COMPUTED_VALUE"""),"Alex Klimek")</f>
        <v>Alex Klimek</v>
      </c>
      <c r="C479" s="189">
        <f ca="1">IFERROR(__xludf.DUMMYFUNCTION("""COMPUTED_VALUE"""),11)</f>
        <v>11</v>
      </c>
      <c r="D479" s="189" t="str">
        <f ca="1">IFERROR(__xludf.DUMMYFUNCTION("""COMPUTED_VALUE"""),"G")</f>
        <v>G</v>
      </c>
      <c r="E479" s="189" t="str">
        <f ca="1">IFERROR(__xludf.DUMMYFUNCTION("""COMPUTED_VALUE"""),"J")</f>
        <v>J</v>
      </c>
      <c r="F479" s="189" t="str">
        <f ca="1">IFERROR(__xludf.DUMMYFUNCTION("""COMPUTED_VALUE"""),"I")</f>
        <v>I</v>
      </c>
      <c r="G479" s="189">
        <f ca="1">IFERROR(__xludf.DUMMYFUNCTION("""COMPUTED_VALUE"""),1)</f>
        <v>1</v>
      </c>
      <c r="H479" s="196" t="s">
        <v>213</v>
      </c>
      <c r="I479" s="196"/>
      <c r="J479" s="196" t="s">
        <v>29</v>
      </c>
      <c r="K479" s="196"/>
      <c r="L479" s="196" t="str">
        <v xml:space="preserve"> 89.60</v>
      </c>
      <c r="M479" s="196"/>
    </row>
    <row r="480" spans="1:13" ht="14.4" x14ac:dyDescent="0.3">
      <c r="A480" s="189" t="str">
        <f ca="1">IFERROR(__xludf.DUMMYFUNCTION("""COMPUTED_VALUE"""),"DR")</f>
        <v>DR</v>
      </c>
      <c r="B480" s="195" t="str">
        <f ca="1">IFERROR(__xludf.DUMMYFUNCTION("""COMPUTED_VALUE"""),"Amelia Rigoli")</f>
        <v>Amelia Rigoli</v>
      </c>
      <c r="C480" s="189">
        <f ca="1">IFERROR(__xludf.DUMMYFUNCTION("""COMPUTED_VALUE"""),12)</f>
        <v>12</v>
      </c>
      <c r="D480" s="189" t="str">
        <f ca="1">IFERROR(__xludf.DUMMYFUNCTION("""COMPUTED_VALUE"""),"G")</f>
        <v>G</v>
      </c>
      <c r="E480" s="189" t="str">
        <f ca="1">IFERROR(__xludf.DUMMYFUNCTION("""COMPUTED_VALUE"""),"J")</f>
        <v>J</v>
      </c>
      <c r="F480" s="189" t="str">
        <f ca="1">IFERROR(__xludf.DUMMYFUNCTION("""COMPUTED_VALUE"""),"I")</f>
        <v>I</v>
      </c>
      <c r="G480" s="189">
        <f ca="1">IFERROR(__xludf.DUMMYFUNCTION("""COMPUTED_VALUE"""),1)</f>
        <v>1</v>
      </c>
      <c r="H480" s="196"/>
      <c r="I480" s="196"/>
      <c r="J480" s="196"/>
      <c r="K480" s="196"/>
      <c r="L480" s="196" t="str">
        <v/>
      </c>
      <c r="M480" s="196"/>
    </row>
    <row r="481" spans="1:13" ht="14.4" x14ac:dyDescent="0.3">
      <c r="A481" s="189" t="str">
        <f ca="1">IFERROR(__xludf.DUMMYFUNCTION("""COMPUTED_VALUE"""),"DR")</f>
        <v>DR</v>
      </c>
      <c r="B481" s="195" t="str">
        <f ca="1">IFERROR(__xludf.DUMMYFUNCTION("""COMPUTED_VALUE"""),"Ivy Thompson")</f>
        <v>Ivy Thompson</v>
      </c>
      <c r="C481" s="189">
        <f ca="1">IFERROR(__xludf.DUMMYFUNCTION("""COMPUTED_VALUE"""),11)</f>
        <v>11</v>
      </c>
      <c r="D481" s="189" t="str">
        <f ca="1">IFERROR(__xludf.DUMMYFUNCTION("""COMPUTED_VALUE"""),"G")</f>
        <v>G</v>
      </c>
      <c r="E481" s="189" t="str">
        <f ca="1">IFERROR(__xludf.DUMMYFUNCTION("""COMPUTED_VALUE"""),"J")</f>
        <v>J</v>
      </c>
      <c r="F481" s="189" t="str">
        <f ca="1">IFERROR(__xludf.DUMMYFUNCTION("""COMPUTED_VALUE"""),"I")</f>
        <v>I</v>
      </c>
      <c r="G481" s="189">
        <f ca="1">IFERROR(__xludf.DUMMYFUNCTION("""COMPUTED_VALUE"""),1)</f>
        <v>1</v>
      </c>
      <c r="H481" s="196" t="s">
        <v>214</v>
      </c>
      <c r="I481" s="196"/>
      <c r="J481" s="196" t="s">
        <v>29</v>
      </c>
      <c r="K481" s="196"/>
      <c r="L481" s="196" t="str">
        <v xml:space="preserve"> 85.00</v>
      </c>
      <c r="M481" s="196"/>
    </row>
    <row r="482" spans="1:13" ht="14.4" x14ac:dyDescent="0.3">
      <c r="A482" s="189" t="str">
        <f ca="1">IFERROR(__xludf.DUMMYFUNCTION("""COMPUTED_VALUE"""),"DR")</f>
        <v>DR</v>
      </c>
      <c r="B482" s="195" t="str">
        <f ca="1">IFERROR(__xludf.DUMMYFUNCTION("""COMPUTED_VALUE"""),"Jules Olsen")</f>
        <v>Jules Olsen</v>
      </c>
      <c r="C482" s="189">
        <f ca="1">IFERROR(__xludf.DUMMYFUNCTION("""COMPUTED_VALUE"""),11)</f>
        <v>11</v>
      </c>
      <c r="D482" s="189" t="str">
        <f ca="1">IFERROR(__xludf.DUMMYFUNCTION("""COMPUTED_VALUE"""),"G")</f>
        <v>G</v>
      </c>
      <c r="E482" s="189" t="str">
        <f ca="1">IFERROR(__xludf.DUMMYFUNCTION("""COMPUTED_VALUE"""),"J")</f>
        <v>J</v>
      </c>
      <c r="F482" s="189" t="str">
        <f ca="1">IFERROR(__xludf.DUMMYFUNCTION("""COMPUTED_VALUE"""),"I")</f>
        <v>I</v>
      </c>
      <c r="G482" s="189">
        <f ca="1">IFERROR(__xludf.DUMMYFUNCTION("""COMPUTED_VALUE"""),1)</f>
        <v>1</v>
      </c>
      <c r="H482" s="196" t="s">
        <v>215</v>
      </c>
      <c r="I482" s="196"/>
      <c r="J482" s="196" t="s">
        <v>29</v>
      </c>
      <c r="K482" s="196"/>
      <c r="L482" s="196" t="str">
        <v xml:space="preserve"> 73.70</v>
      </c>
      <c r="M482" s="196"/>
    </row>
    <row r="483" spans="1:13" ht="14.4" x14ac:dyDescent="0.3">
      <c r="A483" s="189" t="str">
        <f ca="1">IFERROR(__xludf.DUMMYFUNCTION("""COMPUTED_VALUE"""),"DR")</f>
        <v>DR</v>
      </c>
      <c r="B483" s="195" t="str">
        <f ca="1">IFERROR(__xludf.DUMMYFUNCTION("""COMPUTED_VALUE"""),"Kate Freeze")</f>
        <v>Kate Freeze</v>
      </c>
      <c r="C483" s="189">
        <f ca="1">IFERROR(__xludf.DUMMYFUNCTION("""COMPUTED_VALUE"""),11)</f>
        <v>11</v>
      </c>
      <c r="D483" s="189" t="str">
        <f ca="1">IFERROR(__xludf.DUMMYFUNCTION("""COMPUTED_VALUE"""),"G")</f>
        <v>G</v>
      </c>
      <c r="E483" s="189" t="str">
        <f ca="1">IFERROR(__xludf.DUMMYFUNCTION("""COMPUTED_VALUE"""),"J")</f>
        <v>J</v>
      </c>
      <c r="F483" s="189" t="str">
        <f ca="1">IFERROR(__xludf.DUMMYFUNCTION("""COMPUTED_VALUE"""),"I")</f>
        <v>I</v>
      </c>
      <c r="G483" s="189">
        <f ca="1">IFERROR(__xludf.DUMMYFUNCTION("""COMPUTED_VALUE"""),1)</f>
        <v>1</v>
      </c>
      <c r="H483" s="196"/>
      <c r="I483" s="196"/>
      <c r="J483" s="196"/>
      <c r="K483" s="196"/>
      <c r="L483" s="196" t="str">
        <v/>
      </c>
      <c r="M483" s="196"/>
    </row>
    <row r="484" spans="1:13" ht="14.4" x14ac:dyDescent="0.3">
      <c r="A484" s="189" t="str">
        <f ca="1">IFERROR(__xludf.DUMMYFUNCTION("""COMPUTED_VALUE"""),"DR")</f>
        <v>DR</v>
      </c>
      <c r="B484" s="195" t="str">
        <f ca="1">IFERROR(__xludf.DUMMYFUNCTION("""COMPUTED_VALUE"""),"Leah Thoman")</f>
        <v>Leah Thoman</v>
      </c>
      <c r="C484" s="189">
        <f ca="1">IFERROR(__xludf.DUMMYFUNCTION("""COMPUTED_VALUE"""),12)</f>
        <v>12</v>
      </c>
      <c r="D484" s="189" t="str">
        <f ca="1">IFERROR(__xludf.DUMMYFUNCTION("""COMPUTED_VALUE"""),"G")</f>
        <v>G</v>
      </c>
      <c r="E484" s="189" t="str">
        <f ca="1">IFERROR(__xludf.DUMMYFUNCTION("""COMPUTED_VALUE"""),"J")</f>
        <v>J</v>
      </c>
      <c r="F484" s="189" t="str">
        <f ca="1">IFERROR(__xludf.DUMMYFUNCTION("""COMPUTED_VALUE"""),"I")</f>
        <v>I</v>
      </c>
      <c r="G484" s="189">
        <f ca="1">IFERROR(__xludf.DUMMYFUNCTION("""COMPUTED_VALUE"""),1)</f>
        <v>1</v>
      </c>
      <c r="H484" s="196"/>
      <c r="I484" s="196"/>
      <c r="J484" s="196"/>
      <c r="K484" s="196"/>
      <c r="L484" s="196" t="str">
        <v/>
      </c>
      <c r="M484" s="196"/>
    </row>
    <row r="485" spans="1:13" ht="14.4" x14ac:dyDescent="0.3">
      <c r="A485" s="189" t="str">
        <f ca="1">IFERROR(__xludf.DUMMYFUNCTION("""COMPUTED_VALUE"""),"DR")</f>
        <v>DR</v>
      </c>
      <c r="B485" s="195" t="str">
        <f ca="1">IFERROR(__xludf.DUMMYFUNCTION("""COMPUTED_VALUE"""),"Lily Klein")</f>
        <v>Lily Klein</v>
      </c>
      <c r="C485" s="189">
        <f ca="1">IFERROR(__xludf.DUMMYFUNCTION("""COMPUTED_VALUE"""),12)</f>
        <v>12</v>
      </c>
      <c r="D485" s="189" t="str">
        <f ca="1">IFERROR(__xludf.DUMMYFUNCTION("""COMPUTED_VALUE"""),"G")</f>
        <v>G</v>
      </c>
      <c r="E485" s="189" t="str">
        <f ca="1">IFERROR(__xludf.DUMMYFUNCTION("""COMPUTED_VALUE"""),"J")</f>
        <v>J</v>
      </c>
      <c r="F485" s="189" t="str">
        <f ca="1">IFERROR(__xludf.DUMMYFUNCTION("""COMPUTED_VALUE"""),"I")</f>
        <v>I</v>
      </c>
      <c r="G485" s="189">
        <f ca="1">IFERROR(__xludf.DUMMYFUNCTION("""COMPUTED_VALUE"""),1)</f>
        <v>1</v>
      </c>
      <c r="H485" s="196" t="s">
        <v>216</v>
      </c>
      <c r="I485" s="196"/>
      <c r="J485" s="196" t="s">
        <v>64</v>
      </c>
      <c r="K485" s="196"/>
      <c r="L485" s="196" t="str">
        <v xml:space="preserve"> -156.75</v>
      </c>
      <c r="M485" s="196"/>
    </row>
    <row r="486" spans="1:13" ht="14.4" x14ac:dyDescent="0.3">
      <c r="A486" s="189" t="str">
        <f ca="1">IFERROR(__xludf.DUMMYFUNCTION("""COMPUTED_VALUE"""),"DR")</f>
        <v>DR</v>
      </c>
      <c r="B486" s="195" t="str">
        <f ca="1">IFERROR(__xludf.DUMMYFUNCTION("""COMPUTED_VALUE"""),"Livy Jane Abbey")</f>
        <v>Livy Jane Abbey</v>
      </c>
      <c r="C486" s="189">
        <f ca="1">IFERROR(__xludf.DUMMYFUNCTION("""COMPUTED_VALUE"""),11)</f>
        <v>11</v>
      </c>
      <c r="D486" s="189" t="str">
        <f ca="1">IFERROR(__xludf.DUMMYFUNCTION("""COMPUTED_VALUE"""),"G")</f>
        <v>G</v>
      </c>
      <c r="E486" s="189" t="str">
        <f ca="1">IFERROR(__xludf.DUMMYFUNCTION("""COMPUTED_VALUE"""),"J")</f>
        <v>J</v>
      </c>
      <c r="F486" s="189" t="str">
        <f ca="1">IFERROR(__xludf.DUMMYFUNCTION("""COMPUTED_VALUE"""),"I")</f>
        <v>I</v>
      </c>
      <c r="G486" s="189">
        <f ca="1">IFERROR(__xludf.DUMMYFUNCTION("""COMPUTED_VALUE"""),1)</f>
        <v>1</v>
      </c>
      <c r="H486" s="196"/>
      <c r="I486" s="196"/>
      <c r="J486" s="196"/>
      <c r="K486" s="196"/>
      <c r="L486" s="196" t="str">
        <v/>
      </c>
      <c r="M486" s="196"/>
    </row>
    <row r="487" spans="1:13" ht="14.4" x14ac:dyDescent="0.3">
      <c r="A487" s="189" t="str">
        <f ca="1">IFERROR(__xludf.DUMMYFUNCTION("""COMPUTED_VALUE"""),"DR")</f>
        <v>DR</v>
      </c>
      <c r="B487" s="195" t="str">
        <f ca="1">IFERROR(__xludf.DUMMYFUNCTION("""COMPUTED_VALUE"""),"Pippa Chin-Fatt")</f>
        <v>Pippa Chin-Fatt</v>
      </c>
      <c r="C487" s="189">
        <f ca="1">IFERROR(__xludf.DUMMYFUNCTION("""COMPUTED_VALUE"""),11)</f>
        <v>11</v>
      </c>
      <c r="D487" s="189" t="str">
        <f ca="1">IFERROR(__xludf.DUMMYFUNCTION("""COMPUTED_VALUE"""),"G")</f>
        <v>G</v>
      </c>
      <c r="E487" s="189" t="str">
        <f ca="1">IFERROR(__xludf.DUMMYFUNCTION("""COMPUTED_VALUE"""),"J")</f>
        <v>J</v>
      </c>
      <c r="F487" s="189" t="str">
        <f ca="1">IFERROR(__xludf.DUMMYFUNCTION("""COMPUTED_VALUE"""),"I")</f>
        <v>I</v>
      </c>
      <c r="G487" s="189">
        <f ca="1">IFERROR(__xludf.DUMMYFUNCTION("""COMPUTED_VALUE"""),1)</f>
        <v>1</v>
      </c>
      <c r="H487" s="196" t="s">
        <v>217</v>
      </c>
      <c r="I487" s="196"/>
      <c r="J487" s="196" t="s">
        <v>29</v>
      </c>
      <c r="K487" s="196"/>
      <c r="L487" s="196" t="str">
        <v xml:space="preserve"> 91.45</v>
      </c>
      <c r="M487" s="196"/>
    </row>
    <row r="488" spans="1:13" ht="14.4" x14ac:dyDescent="0.3">
      <c r="A488" s="189" t="str">
        <f ca="1">IFERROR(__xludf.DUMMYFUNCTION("""COMPUTED_VALUE"""),"DR")</f>
        <v>DR</v>
      </c>
      <c r="B488" s="195" t="str">
        <f ca="1">IFERROR(__xludf.DUMMYFUNCTION("""COMPUTED_VALUE"""),"Violet Marsh")</f>
        <v>Violet Marsh</v>
      </c>
      <c r="C488" s="189">
        <f ca="1">IFERROR(__xludf.DUMMYFUNCTION("""COMPUTED_VALUE"""),12)</f>
        <v>12</v>
      </c>
      <c r="D488" s="189" t="str">
        <f ca="1">IFERROR(__xludf.DUMMYFUNCTION("""COMPUTED_VALUE"""),"G")</f>
        <v>G</v>
      </c>
      <c r="E488" s="189" t="str">
        <f ca="1">IFERROR(__xludf.DUMMYFUNCTION("""COMPUTED_VALUE"""),"J")</f>
        <v>J</v>
      </c>
      <c r="F488" s="189" t="str">
        <f ca="1">IFERROR(__xludf.DUMMYFUNCTION("""COMPUTED_VALUE"""),"I")</f>
        <v>I</v>
      </c>
      <c r="G488" s="189">
        <f ca="1">IFERROR(__xludf.DUMMYFUNCTION("""COMPUTED_VALUE"""),1)</f>
        <v>1</v>
      </c>
      <c r="H488" s="196"/>
      <c r="I488" s="196"/>
      <c r="J488" s="196"/>
      <c r="K488" s="196"/>
      <c r="L488" s="196" t="str">
        <v/>
      </c>
      <c r="M488" s="196"/>
    </row>
    <row r="489" spans="1:13" ht="14.4" x14ac:dyDescent="0.3">
      <c r="A489" s="189" t="str">
        <f ca="1">IFERROR(__xludf.DUMMYFUNCTION("""COMPUTED_VALUE"""),"DR")</f>
        <v>DR</v>
      </c>
      <c r="B489" s="195" t="str">
        <f ca="1">IFERROR(__xludf.DUMMYFUNCTION("""COMPUTED_VALUE"""),"Zoya Ridgway")</f>
        <v>Zoya Ridgway</v>
      </c>
      <c r="C489" s="189">
        <f ca="1">IFERROR(__xludf.DUMMYFUNCTION("""COMPUTED_VALUE"""),12)</f>
        <v>12</v>
      </c>
      <c r="D489" s="189" t="str">
        <f ca="1">IFERROR(__xludf.DUMMYFUNCTION("""COMPUTED_VALUE"""),"G")</f>
        <v>G</v>
      </c>
      <c r="E489" s="189" t="str">
        <f ca="1">IFERROR(__xludf.DUMMYFUNCTION("""COMPUTED_VALUE"""),"J")</f>
        <v>J</v>
      </c>
      <c r="F489" s="189" t="str">
        <f ca="1">IFERROR(__xludf.DUMMYFUNCTION("""COMPUTED_VALUE"""),"I")</f>
        <v>I</v>
      </c>
      <c r="G489" s="189">
        <f ca="1">IFERROR(__xludf.DUMMYFUNCTION("""COMPUTED_VALUE"""),1)</f>
        <v>1</v>
      </c>
      <c r="H489" s="196"/>
      <c r="I489" s="196"/>
      <c r="J489" s="196"/>
      <c r="K489" s="196"/>
      <c r="L489" s="196" t="str">
        <v/>
      </c>
      <c r="M489" s="196"/>
    </row>
    <row r="490" spans="1:13" ht="14.4" x14ac:dyDescent="0.3">
      <c r="A490" s="189" t="str">
        <f ca="1">IFERROR(__xludf.DUMMYFUNCTION("""COMPUTED_VALUE"""),"DR")</f>
        <v>DR</v>
      </c>
      <c r="B490" s="195" t="str">
        <f ca="1">IFERROR(__xludf.DUMMYFUNCTION("""COMPUTED_VALUE"""),"Ben Jacobs")</f>
        <v>Ben Jacobs</v>
      </c>
      <c r="C490" s="189">
        <f ca="1">IFERROR(__xludf.DUMMYFUNCTION("""COMPUTED_VALUE"""),11)</f>
        <v>11</v>
      </c>
      <c r="D490" s="189" t="str">
        <f ca="1">IFERROR(__xludf.DUMMYFUNCTION("""COMPUTED_VALUE"""),"B")</f>
        <v>B</v>
      </c>
      <c r="E490" s="189" t="str">
        <f ca="1">IFERROR(__xludf.DUMMYFUNCTION("""COMPUTED_VALUE"""),"J")</f>
        <v>J</v>
      </c>
      <c r="F490" s="189" t="str">
        <f ca="1">IFERROR(__xludf.DUMMYFUNCTION("""COMPUTED_VALUE"""),"I")</f>
        <v>I</v>
      </c>
      <c r="G490" s="189">
        <f ca="1">IFERROR(__xludf.DUMMYFUNCTION("""COMPUTED_VALUE"""),1)</f>
        <v>1</v>
      </c>
      <c r="H490" s="196"/>
      <c r="I490" s="196"/>
      <c r="J490" s="196"/>
      <c r="K490" s="196"/>
      <c r="L490" s="196" t="str">
        <v/>
      </c>
      <c r="M490" s="196"/>
    </row>
    <row r="491" spans="1:13" ht="14.4" x14ac:dyDescent="0.3">
      <c r="A491" s="189" t="str">
        <f ca="1">IFERROR(__xludf.DUMMYFUNCTION("""COMPUTED_VALUE"""),"DR")</f>
        <v>DR</v>
      </c>
      <c r="B491" s="195" t="str">
        <f ca="1">IFERROR(__xludf.DUMMYFUNCTION("""COMPUTED_VALUE"""),"Ben Root")</f>
        <v>Ben Root</v>
      </c>
      <c r="C491" s="189">
        <f ca="1">IFERROR(__xludf.DUMMYFUNCTION("""COMPUTED_VALUE"""),11)</f>
        <v>11</v>
      </c>
      <c r="D491" s="189" t="str">
        <f ca="1">IFERROR(__xludf.DUMMYFUNCTION("""COMPUTED_VALUE"""),"B")</f>
        <v>B</v>
      </c>
      <c r="E491" s="189" t="str">
        <f ca="1">IFERROR(__xludf.DUMMYFUNCTION("""COMPUTED_VALUE"""),"J")</f>
        <v>J</v>
      </c>
      <c r="F491" s="189" t="str">
        <f ca="1">IFERROR(__xludf.DUMMYFUNCTION("""COMPUTED_VALUE"""),"I")</f>
        <v>I</v>
      </c>
      <c r="G491" s="189">
        <f ca="1">IFERROR(__xludf.DUMMYFUNCTION("""COMPUTED_VALUE"""),1)</f>
        <v>1</v>
      </c>
      <c r="H491" s="196"/>
      <c r="I491" s="196"/>
      <c r="J491" s="196"/>
      <c r="K491" s="196"/>
      <c r="L491" s="196" t="str">
        <v/>
      </c>
      <c r="M491" s="196"/>
    </row>
    <row r="492" spans="1:13" ht="14.4" x14ac:dyDescent="0.3">
      <c r="A492" s="189" t="str">
        <f ca="1">IFERROR(__xludf.DUMMYFUNCTION("""COMPUTED_VALUE"""),"DR")</f>
        <v>DR</v>
      </c>
      <c r="B492" s="195" t="str">
        <f ca="1">IFERROR(__xludf.DUMMYFUNCTION("""COMPUTED_VALUE"""),"Blaise Bailey")</f>
        <v>Blaise Bailey</v>
      </c>
      <c r="C492" s="189">
        <f ca="1">IFERROR(__xludf.DUMMYFUNCTION("""COMPUTED_VALUE"""),12)</f>
        <v>12</v>
      </c>
      <c r="D492" s="189" t="str">
        <f ca="1">IFERROR(__xludf.DUMMYFUNCTION("""COMPUTED_VALUE"""),"B")</f>
        <v>B</v>
      </c>
      <c r="E492" s="189" t="str">
        <f ca="1">IFERROR(__xludf.DUMMYFUNCTION("""COMPUTED_VALUE"""),"J")</f>
        <v>J</v>
      </c>
      <c r="F492" s="189" t="str">
        <f ca="1">IFERROR(__xludf.DUMMYFUNCTION("""COMPUTED_VALUE"""),"I")</f>
        <v>I</v>
      </c>
      <c r="G492" s="189">
        <f ca="1">IFERROR(__xludf.DUMMYFUNCTION("""COMPUTED_VALUE"""),1)</f>
        <v>1</v>
      </c>
      <c r="H492" s="196"/>
      <c r="I492" s="196"/>
      <c r="J492" s="196"/>
      <c r="K492" s="196"/>
      <c r="L492" s="196" t="str">
        <v/>
      </c>
      <c r="M492" s="196"/>
    </row>
    <row r="493" spans="1:13" ht="14.4" x14ac:dyDescent="0.3">
      <c r="A493" s="189" t="str">
        <f ca="1">IFERROR(__xludf.DUMMYFUNCTION("""COMPUTED_VALUE"""),"DR")</f>
        <v>DR</v>
      </c>
      <c r="B493" s="195" t="str">
        <f ca="1">IFERROR(__xludf.DUMMYFUNCTION("""COMPUTED_VALUE"""),"Braden Healey")</f>
        <v>Braden Healey</v>
      </c>
      <c r="C493" s="189">
        <f ca="1">IFERROR(__xludf.DUMMYFUNCTION("""COMPUTED_VALUE"""),11)</f>
        <v>11</v>
      </c>
      <c r="D493" s="189" t="str">
        <f ca="1">IFERROR(__xludf.DUMMYFUNCTION("""COMPUTED_VALUE"""),"B")</f>
        <v>B</v>
      </c>
      <c r="E493" s="189" t="str">
        <f ca="1">IFERROR(__xludf.DUMMYFUNCTION("""COMPUTED_VALUE"""),"J")</f>
        <v>J</v>
      </c>
      <c r="F493" s="189" t="str">
        <f ca="1">IFERROR(__xludf.DUMMYFUNCTION("""COMPUTED_VALUE"""),"I")</f>
        <v>I</v>
      </c>
      <c r="G493" s="189">
        <f ca="1">IFERROR(__xludf.DUMMYFUNCTION("""COMPUTED_VALUE"""),1)</f>
        <v>1</v>
      </c>
      <c r="H493" s="196"/>
      <c r="I493" s="196"/>
      <c r="J493" s="196"/>
      <c r="K493" s="196"/>
      <c r="L493" s="196" t="str">
        <v/>
      </c>
      <c r="M493" s="196"/>
    </row>
    <row r="494" spans="1:13" ht="14.4" x14ac:dyDescent="0.3">
      <c r="A494" s="189" t="str">
        <f ca="1">IFERROR(__xludf.DUMMYFUNCTION("""COMPUTED_VALUE"""),"DR")</f>
        <v>DR</v>
      </c>
      <c r="B494" s="195" t="str">
        <f ca="1">IFERROR(__xludf.DUMMYFUNCTION("""COMPUTED_VALUE"""),"Charlie DeZee")</f>
        <v>Charlie DeZee</v>
      </c>
      <c r="C494" s="189">
        <f ca="1">IFERROR(__xludf.DUMMYFUNCTION("""COMPUTED_VALUE"""),12)</f>
        <v>12</v>
      </c>
      <c r="D494" s="189" t="str">
        <f ca="1">IFERROR(__xludf.DUMMYFUNCTION("""COMPUTED_VALUE"""),"B")</f>
        <v>B</v>
      </c>
      <c r="E494" s="189" t="str">
        <f ca="1">IFERROR(__xludf.DUMMYFUNCTION("""COMPUTED_VALUE"""),"J")</f>
        <v>J</v>
      </c>
      <c r="F494" s="189" t="str">
        <f ca="1">IFERROR(__xludf.DUMMYFUNCTION("""COMPUTED_VALUE"""),"I")</f>
        <v>I</v>
      </c>
      <c r="G494" s="189">
        <f ca="1">IFERROR(__xludf.DUMMYFUNCTION("""COMPUTED_VALUE"""),1)</f>
        <v>1</v>
      </c>
      <c r="H494" s="196"/>
      <c r="I494" s="196"/>
      <c r="J494" s="196"/>
      <c r="K494" s="196"/>
      <c r="L494" s="196" t="str">
        <v/>
      </c>
      <c r="M494" s="196"/>
    </row>
    <row r="495" spans="1:13" ht="14.4" x14ac:dyDescent="0.3">
      <c r="A495" s="189" t="str">
        <f ca="1">IFERROR(__xludf.DUMMYFUNCTION("""COMPUTED_VALUE"""),"DR")</f>
        <v>DR</v>
      </c>
      <c r="B495" s="195" t="str">
        <f ca="1">IFERROR(__xludf.DUMMYFUNCTION("""COMPUTED_VALUE"""),"Christopher Olsen")</f>
        <v>Christopher Olsen</v>
      </c>
      <c r="C495" s="189">
        <f ca="1">IFERROR(__xludf.DUMMYFUNCTION("""COMPUTED_VALUE"""),12)</f>
        <v>12</v>
      </c>
      <c r="D495" s="189" t="str">
        <f ca="1">IFERROR(__xludf.DUMMYFUNCTION("""COMPUTED_VALUE"""),"B")</f>
        <v>B</v>
      </c>
      <c r="E495" s="189" t="str">
        <f ca="1">IFERROR(__xludf.DUMMYFUNCTION("""COMPUTED_VALUE"""),"J")</f>
        <v>J</v>
      </c>
      <c r="F495" s="189" t="str">
        <f ca="1">IFERROR(__xludf.DUMMYFUNCTION("""COMPUTED_VALUE"""),"I")</f>
        <v>I</v>
      </c>
      <c r="G495" s="189">
        <f ca="1">IFERROR(__xludf.DUMMYFUNCTION("""COMPUTED_VALUE"""),1)</f>
        <v>1</v>
      </c>
      <c r="H495" s="196"/>
      <c r="I495" s="196"/>
      <c r="J495" s="196"/>
      <c r="K495" s="196"/>
      <c r="L495" s="196" t="str">
        <v/>
      </c>
      <c r="M495" s="196"/>
    </row>
    <row r="496" spans="1:13" ht="14.4" x14ac:dyDescent="0.3">
      <c r="A496" s="189" t="str">
        <f ca="1">IFERROR(__xludf.DUMMYFUNCTION("""COMPUTED_VALUE"""),"DR")</f>
        <v>DR</v>
      </c>
      <c r="B496" s="195" t="str">
        <f ca="1">IFERROR(__xludf.DUMMYFUNCTION("""COMPUTED_VALUE"""),"Hayden Klein")</f>
        <v>Hayden Klein</v>
      </c>
      <c r="C496" s="189">
        <f ca="1">IFERROR(__xludf.DUMMYFUNCTION("""COMPUTED_VALUE"""),11)</f>
        <v>11</v>
      </c>
      <c r="D496" s="189" t="str">
        <f ca="1">IFERROR(__xludf.DUMMYFUNCTION("""COMPUTED_VALUE"""),"B")</f>
        <v>B</v>
      </c>
      <c r="E496" s="189" t="str">
        <f ca="1">IFERROR(__xludf.DUMMYFUNCTION("""COMPUTED_VALUE"""),"J")</f>
        <v>J</v>
      </c>
      <c r="F496" s="189" t="str">
        <f ca="1">IFERROR(__xludf.DUMMYFUNCTION("""COMPUTED_VALUE"""),"I")</f>
        <v>I</v>
      </c>
      <c r="G496" s="189">
        <f ca="1">IFERROR(__xludf.DUMMYFUNCTION("""COMPUTED_VALUE"""),1)</f>
        <v>1</v>
      </c>
      <c r="H496" s="196"/>
      <c r="I496" s="196"/>
      <c r="J496" s="196"/>
      <c r="K496" s="196"/>
      <c r="L496" s="196" t="str">
        <v/>
      </c>
      <c r="M496" s="196"/>
    </row>
    <row r="497" spans="1:13" ht="14.4" x14ac:dyDescent="0.3">
      <c r="A497" s="189" t="str">
        <f ca="1">IFERROR(__xludf.DUMMYFUNCTION("""COMPUTED_VALUE"""),"DR")</f>
        <v>DR</v>
      </c>
      <c r="B497" s="195" t="str">
        <f ca="1">IFERROR(__xludf.DUMMYFUNCTION("""COMPUTED_VALUE"""),"Jack Taylor")</f>
        <v>Jack Taylor</v>
      </c>
      <c r="C497" s="189">
        <f ca="1">IFERROR(__xludf.DUMMYFUNCTION("""COMPUTED_VALUE"""),12)</f>
        <v>12</v>
      </c>
      <c r="D497" s="189" t="str">
        <f ca="1">IFERROR(__xludf.DUMMYFUNCTION("""COMPUTED_VALUE"""),"B")</f>
        <v>B</v>
      </c>
      <c r="E497" s="189" t="str">
        <f ca="1">IFERROR(__xludf.DUMMYFUNCTION("""COMPUTED_VALUE"""),"J")</f>
        <v>J</v>
      </c>
      <c r="F497" s="189" t="str">
        <f ca="1">IFERROR(__xludf.DUMMYFUNCTION("""COMPUTED_VALUE"""),"I")</f>
        <v>I</v>
      </c>
      <c r="G497" s="189">
        <f ca="1">IFERROR(__xludf.DUMMYFUNCTION("""COMPUTED_VALUE"""),1)</f>
        <v>1</v>
      </c>
      <c r="H497" s="196" t="s">
        <v>218</v>
      </c>
      <c r="I497" s="196"/>
      <c r="J497" s="196" t="s">
        <v>29</v>
      </c>
      <c r="K497" s="196"/>
      <c r="L497" s="196" t="str">
        <v xml:space="preserve"> 96.05</v>
      </c>
      <c r="M497" s="196"/>
    </row>
    <row r="498" spans="1:13" ht="14.4" x14ac:dyDescent="0.3">
      <c r="A498" s="189" t="str">
        <f ca="1">IFERROR(__xludf.DUMMYFUNCTION("""COMPUTED_VALUE"""),"DR")</f>
        <v>DR</v>
      </c>
      <c r="B498" s="195" t="str">
        <f ca="1">IFERROR(__xludf.DUMMYFUNCTION("""COMPUTED_VALUE"""),"John McKenzie")</f>
        <v>John McKenzie</v>
      </c>
      <c r="C498" s="189">
        <f ca="1">IFERROR(__xludf.DUMMYFUNCTION("""COMPUTED_VALUE"""),11)</f>
        <v>11</v>
      </c>
      <c r="D498" s="189" t="str">
        <f ca="1">IFERROR(__xludf.DUMMYFUNCTION("""COMPUTED_VALUE"""),"B")</f>
        <v>B</v>
      </c>
      <c r="E498" s="189" t="str">
        <f ca="1">IFERROR(__xludf.DUMMYFUNCTION("""COMPUTED_VALUE"""),"J")</f>
        <v>J</v>
      </c>
      <c r="F498" s="189" t="str">
        <f ca="1">IFERROR(__xludf.DUMMYFUNCTION("""COMPUTED_VALUE"""),"I")</f>
        <v>I</v>
      </c>
      <c r="G498" s="189">
        <f ca="1">IFERROR(__xludf.DUMMYFUNCTION("""COMPUTED_VALUE"""),1)</f>
        <v>1</v>
      </c>
      <c r="H498" s="196"/>
      <c r="I498" s="196"/>
      <c r="J498" s="196"/>
      <c r="K498" s="196"/>
      <c r="L498" s="196" t="str">
        <v/>
      </c>
      <c r="M498" s="196"/>
    </row>
    <row r="499" spans="1:13" ht="14.4" x14ac:dyDescent="0.3">
      <c r="A499" s="189" t="str">
        <f ca="1">IFERROR(__xludf.DUMMYFUNCTION("""COMPUTED_VALUE"""),"DR")</f>
        <v>DR</v>
      </c>
      <c r="B499" s="195" t="str">
        <f ca="1">IFERROR(__xludf.DUMMYFUNCTION("""COMPUTED_VALUE"""),"Liam Stodel")</f>
        <v>Liam Stodel</v>
      </c>
      <c r="C499" s="189">
        <f ca="1">IFERROR(__xludf.DUMMYFUNCTION("""COMPUTED_VALUE"""),11)</f>
        <v>11</v>
      </c>
      <c r="D499" s="189" t="str">
        <f ca="1">IFERROR(__xludf.DUMMYFUNCTION("""COMPUTED_VALUE"""),"B")</f>
        <v>B</v>
      </c>
      <c r="E499" s="189" t="str">
        <f ca="1">IFERROR(__xludf.DUMMYFUNCTION("""COMPUTED_VALUE"""),"J")</f>
        <v>J</v>
      </c>
      <c r="F499" s="189" t="str">
        <f ca="1">IFERROR(__xludf.DUMMYFUNCTION("""COMPUTED_VALUE"""),"I")</f>
        <v>I</v>
      </c>
      <c r="G499" s="189">
        <f ca="1">IFERROR(__xludf.DUMMYFUNCTION("""COMPUTED_VALUE"""),1)</f>
        <v>1</v>
      </c>
      <c r="H499" s="196"/>
      <c r="I499" s="196"/>
      <c r="J499" s="196"/>
      <c r="K499" s="196"/>
      <c r="L499" s="196" t="str">
        <v/>
      </c>
      <c r="M499" s="196"/>
    </row>
    <row r="500" spans="1:13" ht="14.4" x14ac:dyDescent="0.3">
      <c r="A500" s="189" t="str">
        <f ca="1">IFERROR(__xludf.DUMMYFUNCTION("""COMPUTED_VALUE"""),"DR")</f>
        <v>DR</v>
      </c>
      <c r="B500" s="195" t="str">
        <f ca="1">IFERROR(__xludf.DUMMYFUNCTION("""COMPUTED_VALUE"""),"Parker Englerth")</f>
        <v>Parker Englerth</v>
      </c>
      <c r="C500" s="189">
        <f ca="1">IFERROR(__xludf.DUMMYFUNCTION("""COMPUTED_VALUE"""),12)</f>
        <v>12</v>
      </c>
      <c r="D500" s="189" t="str">
        <f ca="1">IFERROR(__xludf.DUMMYFUNCTION("""COMPUTED_VALUE"""),"B")</f>
        <v>B</v>
      </c>
      <c r="E500" s="189" t="str">
        <f ca="1">IFERROR(__xludf.DUMMYFUNCTION("""COMPUTED_VALUE"""),"J")</f>
        <v>J</v>
      </c>
      <c r="F500" s="189" t="str">
        <f ca="1">IFERROR(__xludf.DUMMYFUNCTION("""COMPUTED_VALUE"""),"I")</f>
        <v>I</v>
      </c>
      <c r="G500" s="189">
        <f ca="1">IFERROR(__xludf.DUMMYFUNCTION("""COMPUTED_VALUE"""),1)</f>
        <v>1</v>
      </c>
      <c r="H500" s="196"/>
      <c r="I500" s="196"/>
      <c r="J500" s="196"/>
      <c r="K500" s="196"/>
      <c r="L500" s="196" t="str">
        <v/>
      </c>
      <c r="M500" s="196"/>
    </row>
    <row r="501" spans="1:13" ht="14.4" x14ac:dyDescent="0.3">
      <c r="A501" s="189" t="str">
        <f ca="1">IFERROR(__xludf.DUMMYFUNCTION("""COMPUTED_VALUE"""),"DR")</f>
        <v>DR</v>
      </c>
      <c r="B501" s="195" t="str">
        <f ca="1">IFERROR(__xludf.DUMMYFUNCTION("""COMPUTED_VALUE"""),"Philip Bastow")</f>
        <v>Philip Bastow</v>
      </c>
      <c r="C501" s="189">
        <f ca="1">IFERROR(__xludf.DUMMYFUNCTION("""COMPUTED_VALUE"""),11)</f>
        <v>11</v>
      </c>
      <c r="D501" s="189" t="str">
        <f ca="1">IFERROR(__xludf.DUMMYFUNCTION("""COMPUTED_VALUE"""),"B")</f>
        <v>B</v>
      </c>
      <c r="E501" s="189" t="str">
        <f ca="1">IFERROR(__xludf.DUMMYFUNCTION("""COMPUTED_VALUE"""),"J")</f>
        <v>J</v>
      </c>
      <c r="F501" s="189" t="str">
        <f ca="1">IFERROR(__xludf.DUMMYFUNCTION("""COMPUTED_VALUE"""),"I")</f>
        <v>I</v>
      </c>
      <c r="G501" s="189">
        <f ca="1">IFERROR(__xludf.DUMMYFUNCTION("""COMPUTED_VALUE"""),1)</f>
        <v>1</v>
      </c>
      <c r="H501" s="196" t="s">
        <v>219</v>
      </c>
      <c r="I501" s="196"/>
      <c r="J501" s="196" t="s">
        <v>29</v>
      </c>
      <c r="K501" s="196"/>
      <c r="L501" s="196" t="str">
        <v xml:space="preserve"> 61.55</v>
      </c>
      <c r="M501" s="196"/>
    </row>
    <row r="502" spans="1:13" ht="14.4" x14ac:dyDescent="0.3">
      <c r="A502" s="189" t="str">
        <f ca="1">IFERROR(__xludf.DUMMYFUNCTION("""COMPUTED_VALUE"""),"DR")</f>
        <v>DR</v>
      </c>
      <c r="B502" s="195" t="str">
        <f ca="1">IFERROR(__xludf.DUMMYFUNCTION("""COMPUTED_VALUE"""),"Ravi Martinez")</f>
        <v>Ravi Martinez</v>
      </c>
      <c r="C502" s="189">
        <f ca="1">IFERROR(__xludf.DUMMYFUNCTION("""COMPUTED_VALUE"""),11)</f>
        <v>11</v>
      </c>
      <c r="D502" s="189" t="str">
        <f ca="1">IFERROR(__xludf.DUMMYFUNCTION("""COMPUTED_VALUE"""),"B")</f>
        <v>B</v>
      </c>
      <c r="E502" s="189" t="str">
        <f ca="1">IFERROR(__xludf.DUMMYFUNCTION("""COMPUTED_VALUE"""),"J")</f>
        <v>J</v>
      </c>
      <c r="F502" s="189" t="str">
        <f ca="1">IFERROR(__xludf.DUMMYFUNCTION("""COMPUTED_VALUE"""),"I")</f>
        <v>I</v>
      </c>
      <c r="G502" s="189">
        <f ca="1">IFERROR(__xludf.DUMMYFUNCTION("""COMPUTED_VALUE"""),1)</f>
        <v>1</v>
      </c>
      <c r="H502" s="196" t="s">
        <v>220</v>
      </c>
      <c r="I502" s="196"/>
      <c r="J502" s="196" t="s">
        <v>29</v>
      </c>
      <c r="K502" s="196"/>
      <c r="L502" s="196" t="str">
        <v xml:space="preserve"> 85.25</v>
      </c>
      <c r="M502" s="196"/>
    </row>
    <row r="503" spans="1:13" ht="14.4" x14ac:dyDescent="0.3">
      <c r="A503" s="189" t="str">
        <f ca="1">IFERROR(__xludf.DUMMYFUNCTION("""COMPUTED_VALUE"""),"DR")</f>
        <v>DR</v>
      </c>
      <c r="B503" s="195" t="str">
        <f ca="1">IFERROR(__xludf.DUMMYFUNCTION("""COMPUTED_VALUE"""),"Tommy Edgerton")</f>
        <v>Tommy Edgerton</v>
      </c>
      <c r="C503" s="189">
        <f ca="1">IFERROR(__xludf.DUMMYFUNCTION("""COMPUTED_VALUE"""),11)</f>
        <v>11</v>
      </c>
      <c r="D503" s="189" t="str">
        <f ca="1">IFERROR(__xludf.DUMMYFUNCTION("""COMPUTED_VALUE"""),"B")</f>
        <v>B</v>
      </c>
      <c r="E503" s="189" t="str">
        <f ca="1">IFERROR(__xludf.DUMMYFUNCTION("""COMPUTED_VALUE"""),"J")</f>
        <v>J</v>
      </c>
      <c r="F503" s="189" t="str">
        <f ca="1">IFERROR(__xludf.DUMMYFUNCTION("""COMPUTED_VALUE"""),"I")</f>
        <v>I</v>
      </c>
      <c r="G503" s="189">
        <f ca="1">IFERROR(__xludf.DUMMYFUNCTION("""COMPUTED_VALUE"""),1)</f>
        <v>1</v>
      </c>
      <c r="H503" s="196" t="s">
        <v>221</v>
      </c>
      <c r="I503" s="196"/>
      <c r="J503" s="196" t="s">
        <v>29</v>
      </c>
      <c r="K503" s="196"/>
      <c r="L503" s="196" t="str">
        <v xml:space="preserve"> 83.05</v>
      </c>
      <c r="M503" s="196"/>
    </row>
    <row r="504" spans="1:13" ht="14.4" x14ac:dyDescent="0.3">
      <c r="A504" s="189" t="str">
        <f ca="1">IFERROR(__xludf.DUMMYFUNCTION("""COMPUTED_VALUE"""),"DR")</f>
        <v>DR</v>
      </c>
      <c r="B504" s="195" t="str">
        <f ca="1">IFERROR(__xludf.DUMMYFUNCTION("""COMPUTED_VALUE"""),"William Staren")</f>
        <v>William Staren</v>
      </c>
      <c r="C504" s="189">
        <f ca="1">IFERROR(__xludf.DUMMYFUNCTION("""COMPUTED_VALUE"""),12)</f>
        <v>12</v>
      </c>
      <c r="D504" s="189" t="str">
        <f ca="1">IFERROR(__xludf.DUMMYFUNCTION("""COMPUTED_VALUE"""),"B")</f>
        <v>B</v>
      </c>
      <c r="E504" s="189" t="str">
        <f ca="1">IFERROR(__xludf.DUMMYFUNCTION("""COMPUTED_VALUE"""),"J")</f>
        <v>J</v>
      </c>
      <c r="F504" s="189" t="str">
        <f ca="1">IFERROR(__xludf.DUMMYFUNCTION("""COMPUTED_VALUE"""),"I")</f>
        <v>I</v>
      </c>
      <c r="G504" s="189">
        <f ca="1">IFERROR(__xludf.DUMMYFUNCTION("""COMPUTED_VALUE"""),1)</f>
        <v>1</v>
      </c>
      <c r="H504" s="196"/>
      <c r="I504" s="196"/>
      <c r="J504" s="196"/>
      <c r="K504" s="196"/>
      <c r="L504" s="196" t="str">
        <v/>
      </c>
      <c r="M504" s="196"/>
    </row>
    <row r="505" spans="1:13" ht="14.4" x14ac:dyDescent="0.3">
      <c r="A505" s="189" t="str">
        <f ca="1">IFERROR(__xludf.DUMMYFUNCTION("""COMPUTED_VALUE"""),"DR")</f>
        <v>DR</v>
      </c>
      <c r="B505" s="195" t="str">
        <f ca="1">IFERROR(__xludf.DUMMYFUNCTION("""COMPUTED_VALUE"""),"Addison Johnson")</f>
        <v>Addison Johnson</v>
      </c>
      <c r="C505" s="189">
        <f ca="1">IFERROR(__xludf.DUMMYFUNCTION("""COMPUTED_VALUE"""),15)</f>
        <v>15</v>
      </c>
      <c r="D505" s="189" t="str">
        <f ca="1">IFERROR(__xludf.DUMMYFUNCTION("""COMPUTED_VALUE"""),"G")</f>
        <v>G</v>
      </c>
      <c r="E505" s="189" t="str">
        <f ca="1">IFERROR(__xludf.DUMMYFUNCTION("""COMPUTED_VALUE"""),"S")</f>
        <v>S</v>
      </c>
      <c r="F505" s="189" t="str">
        <f ca="1">IFERROR(__xludf.DUMMYFUNCTION("""COMPUTED_VALUE"""),"S")</f>
        <v>S</v>
      </c>
      <c r="G505" s="189">
        <f ca="1">IFERROR(__xludf.DUMMYFUNCTION("""COMPUTED_VALUE"""),1)</f>
        <v>1</v>
      </c>
      <c r="H505" s="196"/>
      <c r="I505" s="196"/>
      <c r="J505" s="196"/>
      <c r="K505" s="196"/>
      <c r="L505" s="196" t="str">
        <v/>
      </c>
      <c r="M505" s="196"/>
    </row>
    <row r="506" spans="1:13" ht="14.4" x14ac:dyDescent="0.3">
      <c r="A506" s="189" t="str">
        <f ca="1">IFERROR(__xludf.DUMMYFUNCTION("""COMPUTED_VALUE"""),"DR")</f>
        <v>DR</v>
      </c>
      <c r="B506" s="195" t="str">
        <f ca="1">IFERROR(__xludf.DUMMYFUNCTION("""COMPUTED_VALUE"""),"Audrey Bowman")</f>
        <v>Audrey Bowman</v>
      </c>
      <c r="C506" s="189">
        <f ca="1">IFERROR(__xludf.DUMMYFUNCTION("""COMPUTED_VALUE"""),15)</f>
        <v>15</v>
      </c>
      <c r="D506" s="189" t="str">
        <f ca="1">IFERROR(__xludf.DUMMYFUNCTION("""COMPUTED_VALUE"""),"G")</f>
        <v>G</v>
      </c>
      <c r="E506" s="189" t="str">
        <f ca="1">IFERROR(__xludf.DUMMYFUNCTION("""COMPUTED_VALUE"""),"S")</f>
        <v>S</v>
      </c>
      <c r="F506" s="189" t="str">
        <f ca="1">IFERROR(__xludf.DUMMYFUNCTION("""COMPUTED_VALUE"""),"S")</f>
        <v>S</v>
      </c>
      <c r="G506" s="189">
        <f ca="1">IFERROR(__xludf.DUMMYFUNCTION("""COMPUTED_VALUE"""),1)</f>
        <v>1</v>
      </c>
      <c r="H506" s="196"/>
      <c r="I506" s="196"/>
      <c r="J506" s="196"/>
      <c r="K506" s="196"/>
      <c r="L506" s="196" t="str">
        <v/>
      </c>
      <c r="M506" s="196"/>
    </row>
    <row r="507" spans="1:13" ht="14.4" x14ac:dyDescent="0.3">
      <c r="A507" s="189" t="str">
        <f ca="1">IFERROR(__xludf.DUMMYFUNCTION("""COMPUTED_VALUE"""),"DR")</f>
        <v>DR</v>
      </c>
      <c r="B507" s="195" t="str">
        <f ca="1">IFERROR(__xludf.DUMMYFUNCTION("""COMPUTED_VALUE"""),"Charlotte Fletcher")</f>
        <v>Charlotte Fletcher</v>
      </c>
      <c r="C507" s="189">
        <f ca="1">IFERROR(__xludf.DUMMYFUNCTION("""COMPUTED_VALUE"""),16)</f>
        <v>16</v>
      </c>
      <c r="D507" s="189" t="str">
        <f ca="1">IFERROR(__xludf.DUMMYFUNCTION("""COMPUTED_VALUE"""),"G")</f>
        <v>G</v>
      </c>
      <c r="E507" s="189" t="str">
        <f ca="1">IFERROR(__xludf.DUMMYFUNCTION("""COMPUTED_VALUE"""),"S")</f>
        <v>S</v>
      </c>
      <c r="F507" s="189" t="str">
        <f ca="1">IFERROR(__xludf.DUMMYFUNCTION("""COMPUTED_VALUE"""),"S")</f>
        <v>S</v>
      </c>
      <c r="G507" s="189">
        <f ca="1">IFERROR(__xludf.DUMMYFUNCTION("""COMPUTED_VALUE"""),1)</f>
        <v>1</v>
      </c>
      <c r="H507" s="196"/>
      <c r="I507" s="196"/>
      <c r="J507" s="196"/>
      <c r="K507" s="196"/>
      <c r="L507" s="196" t="str">
        <v/>
      </c>
      <c r="M507" s="196"/>
    </row>
    <row r="508" spans="1:13" ht="14.4" x14ac:dyDescent="0.3">
      <c r="A508" s="189" t="str">
        <f ca="1">IFERROR(__xludf.DUMMYFUNCTION("""COMPUTED_VALUE"""),"DR")</f>
        <v>DR</v>
      </c>
      <c r="B508" s="195" t="str">
        <f ca="1">IFERROR(__xludf.DUMMYFUNCTION("""COMPUTED_VALUE"""),"Jenna Sheetz")</f>
        <v>Jenna Sheetz</v>
      </c>
      <c r="C508" s="189">
        <f ca="1">IFERROR(__xludf.DUMMYFUNCTION("""COMPUTED_VALUE"""),16)</f>
        <v>16</v>
      </c>
      <c r="D508" s="189" t="str">
        <f ca="1">IFERROR(__xludf.DUMMYFUNCTION("""COMPUTED_VALUE"""),"G")</f>
        <v>G</v>
      </c>
      <c r="E508" s="189" t="str">
        <f ca="1">IFERROR(__xludf.DUMMYFUNCTION("""COMPUTED_VALUE"""),"S")</f>
        <v>S</v>
      </c>
      <c r="F508" s="189" t="str">
        <f ca="1">IFERROR(__xludf.DUMMYFUNCTION("""COMPUTED_VALUE"""),"S")</f>
        <v>S</v>
      </c>
      <c r="G508" s="189">
        <f ca="1">IFERROR(__xludf.DUMMYFUNCTION("""COMPUTED_VALUE"""),1)</f>
        <v>1</v>
      </c>
      <c r="H508" s="196" t="s">
        <v>222</v>
      </c>
      <c r="I508" s="196"/>
      <c r="J508" s="196" t="s">
        <v>29</v>
      </c>
      <c r="K508" s="196"/>
      <c r="L508" s="196" t="str">
        <v xml:space="preserve"> 142.40</v>
      </c>
      <c r="M508" s="196"/>
    </row>
    <row r="509" spans="1:13" ht="14.4" x14ac:dyDescent="0.3">
      <c r="A509" s="189" t="str">
        <f ca="1">IFERROR(__xludf.DUMMYFUNCTION("""COMPUTED_VALUE"""),"DR")</f>
        <v>DR</v>
      </c>
      <c r="B509" s="195" t="str">
        <f ca="1">IFERROR(__xludf.DUMMYFUNCTION("""COMPUTED_VALUE"""),"Madeline Duong")</f>
        <v>Madeline Duong</v>
      </c>
      <c r="C509" s="189">
        <f ca="1">IFERROR(__xludf.DUMMYFUNCTION("""COMPUTED_VALUE"""),15)</f>
        <v>15</v>
      </c>
      <c r="D509" s="189" t="str">
        <f ca="1">IFERROR(__xludf.DUMMYFUNCTION("""COMPUTED_VALUE"""),"G")</f>
        <v>G</v>
      </c>
      <c r="E509" s="189" t="str">
        <f ca="1">IFERROR(__xludf.DUMMYFUNCTION("""COMPUTED_VALUE"""),"S")</f>
        <v>S</v>
      </c>
      <c r="F509" s="189" t="str">
        <f ca="1">IFERROR(__xludf.DUMMYFUNCTION("""COMPUTED_VALUE"""),"S")</f>
        <v>S</v>
      </c>
      <c r="G509" s="189">
        <f ca="1">IFERROR(__xludf.DUMMYFUNCTION("""COMPUTED_VALUE"""),1)</f>
        <v>1</v>
      </c>
      <c r="H509" s="196"/>
      <c r="I509" s="196"/>
      <c r="J509" s="196"/>
      <c r="K509" s="196"/>
      <c r="L509" s="196" t="str">
        <v/>
      </c>
      <c r="M509" s="196"/>
    </row>
    <row r="510" spans="1:13" ht="14.4" x14ac:dyDescent="0.3">
      <c r="A510" s="189" t="str">
        <f ca="1">IFERROR(__xludf.DUMMYFUNCTION("""COMPUTED_VALUE"""),"DR")</f>
        <v>DR</v>
      </c>
      <c r="B510" s="195" t="str">
        <f ca="1">IFERROR(__xludf.DUMMYFUNCTION("""COMPUTED_VALUE"""),"Jack Bowman")</f>
        <v>Jack Bowman</v>
      </c>
      <c r="C510" s="189">
        <f ca="1">IFERROR(__xludf.DUMMYFUNCTION("""COMPUTED_VALUE"""),17)</f>
        <v>17</v>
      </c>
      <c r="D510" s="189" t="str">
        <f ca="1">IFERROR(__xludf.DUMMYFUNCTION("""COMPUTED_VALUE"""),"B")</f>
        <v>B</v>
      </c>
      <c r="E510" s="189" t="str">
        <f ca="1">IFERROR(__xludf.DUMMYFUNCTION("""COMPUTED_VALUE"""),"S")</f>
        <v>S</v>
      </c>
      <c r="F510" s="189" t="str">
        <f ca="1">IFERROR(__xludf.DUMMYFUNCTION("""COMPUTED_VALUE"""),"S")</f>
        <v>S</v>
      </c>
      <c r="G510" s="189">
        <f ca="1">IFERROR(__xludf.DUMMYFUNCTION("""COMPUTED_VALUE"""),1)</f>
        <v>1</v>
      </c>
      <c r="H510" s="196"/>
      <c r="I510" s="196"/>
      <c r="J510" s="196"/>
      <c r="K510" s="196"/>
      <c r="L510" s="196" t="str">
        <v/>
      </c>
      <c r="M510" s="196"/>
    </row>
    <row r="511" spans="1:13" ht="14.4" x14ac:dyDescent="0.3">
      <c r="A511" s="189" t="str">
        <f ca="1">IFERROR(__xludf.DUMMYFUNCTION("""COMPUTED_VALUE"""),"DR")</f>
        <v>DR</v>
      </c>
      <c r="B511" s="195" t="str">
        <f ca="1">IFERROR(__xludf.DUMMYFUNCTION("""COMPUTED_VALUE"""),"Jack Reed")</f>
        <v>Jack Reed</v>
      </c>
      <c r="C511" s="189">
        <f ca="1">IFERROR(__xludf.DUMMYFUNCTION("""COMPUTED_VALUE"""),17)</f>
        <v>17</v>
      </c>
      <c r="D511" s="189" t="str">
        <f ca="1">IFERROR(__xludf.DUMMYFUNCTION("""COMPUTED_VALUE"""),"B")</f>
        <v>B</v>
      </c>
      <c r="E511" s="189" t="str">
        <f ca="1">IFERROR(__xludf.DUMMYFUNCTION("""COMPUTED_VALUE"""),"S")</f>
        <v>S</v>
      </c>
      <c r="F511" s="189" t="str">
        <f ca="1">IFERROR(__xludf.DUMMYFUNCTION("""COMPUTED_VALUE"""),"S")</f>
        <v>S</v>
      </c>
      <c r="G511" s="189">
        <f ca="1">IFERROR(__xludf.DUMMYFUNCTION("""COMPUTED_VALUE"""),1)</f>
        <v>1</v>
      </c>
      <c r="H511" s="196" t="s">
        <v>223</v>
      </c>
      <c r="I511" s="196"/>
      <c r="J511" s="196" t="s">
        <v>29</v>
      </c>
      <c r="K511" s="196"/>
      <c r="L511" s="196" t="str">
        <v xml:space="preserve"> 206.50</v>
      </c>
      <c r="M511" s="196"/>
    </row>
    <row r="512" spans="1:13" ht="14.4" x14ac:dyDescent="0.3">
      <c r="A512" s="189" t="str">
        <f ca="1">IFERROR(__xludf.DUMMYFUNCTION("""COMPUTED_VALUE"""),"DR")</f>
        <v>DR</v>
      </c>
      <c r="B512" s="195" t="str">
        <f ca="1">IFERROR(__xludf.DUMMYFUNCTION("""COMPUTED_VALUE"""),"Sam Mulchandani")</f>
        <v>Sam Mulchandani</v>
      </c>
      <c r="C512" s="189">
        <f ca="1">IFERROR(__xludf.DUMMYFUNCTION("""COMPUTED_VALUE"""),15)</f>
        <v>15</v>
      </c>
      <c r="D512" s="189" t="str">
        <f ca="1">IFERROR(__xludf.DUMMYFUNCTION("""COMPUTED_VALUE"""),"B")</f>
        <v>B</v>
      </c>
      <c r="E512" s="189" t="str">
        <f ca="1">IFERROR(__xludf.DUMMYFUNCTION("""COMPUTED_VALUE"""),"S")</f>
        <v>S</v>
      </c>
      <c r="F512" s="189" t="str">
        <f ca="1">IFERROR(__xludf.DUMMYFUNCTION("""COMPUTED_VALUE"""),"S")</f>
        <v>S</v>
      </c>
      <c r="G512" s="189">
        <f ca="1">IFERROR(__xludf.DUMMYFUNCTION("""COMPUTED_VALUE"""),1)</f>
        <v>1</v>
      </c>
      <c r="H512" s="196" t="s">
        <v>224</v>
      </c>
      <c r="I512" s="196"/>
      <c r="J512" s="196" t="s">
        <v>29</v>
      </c>
      <c r="K512" s="196"/>
      <c r="L512" s="196" t="str">
        <v xml:space="preserve"> 129.45</v>
      </c>
      <c r="M512" s="196"/>
    </row>
    <row r="513" spans="1:13" ht="14.4" x14ac:dyDescent="0.3">
      <c r="A513" s="189" t="str">
        <f ca="1">IFERROR(__xludf.DUMMYFUNCTION("""COMPUTED_VALUE"""),"F")</f>
        <v>F</v>
      </c>
      <c r="B513" s="195" t="str">
        <f ca="1">IFERROR(__xludf.DUMMYFUNCTION("""COMPUTED_VALUE"""),"Arabella Zheng")</f>
        <v>Arabella Zheng</v>
      </c>
      <c r="C513" s="189">
        <f ca="1">IFERROR(__xludf.DUMMYFUNCTION("""COMPUTED_VALUE"""),8)</f>
        <v>8</v>
      </c>
      <c r="D513" s="189" t="str">
        <f ca="1">IFERROR(__xludf.DUMMYFUNCTION("""COMPUTED_VALUE"""),"G")</f>
        <v>G</v>
      </c>
      <c r="E513" s="189" t="str">
        <f ca="1">IFERROR(__xludf.DUMMYFUNCTION("""COMPUTED_VALUE"""),"F")</f>
        <v>F</v>
      </c>
      <c r="F513" s="189" t="str">
        <f ca="1">IFERROR(__xludf.DUMMYFUNCTION("""COMPUTED_VALUE"""),"J")</f>
        <v>J</v>
      </c>
      <c r="G513" s="189">
        <f ca="1">IFERROR(__xludf.DUMMYFUNCTION("""COMPUTED_VALUE"""),1)</f>
        <v>1</v>
      </c>
      <c r="H513" s="196"/>
      <c r="I513" s="196"/>
      <c r="J513" s="196"/>
      <c r="K513" s="196"/>
      <c r="L513" s="196" t="str">
        <v/>
      </c>
      <c r="M513" s="196"/>
    </row>
    <row r="514" spans="1:13" ht="14.4" x14ac:dyDescent="0.3">
      <c r="A514" s="189" t="str">
        <f ca="1">IFERROR(__xludf.DUMMYFUNCTION("""COMPUTED_VALUE"""),"F")</f>
        <v>F</v>
      </c>
      <c r="B514" s="195" t="str">
        <f ca="1">IFERROR(__xludf.DUMMYFUNCTION("""COMPUTED_VALUE"""),"Audrey Jacob")</f>
        <v>Audrey Jacob</v>
      </c>
      <c r="C514" s="189">
        <f ca="1">IFERROR(__xludf.DUMMYFUNCTION("""COMPUTED_VALUE"""),7)</f>
        <v>7</v>
      </c>
      <c r="D514" s="189" t="str">
        <f ca="1">IFERROR(__xludf.DUMMYFUNCTION("""COMPUTED_VALUE"""),"G")</f>
        <v>G</v>
      </c>
      <c r="E514" s="189" t="str">
        <f ca="1">IFERROR(__xludf.DUMMYFUNCTION("""COMPUTED_VALUE"""),"F")</f>
        <v>F</v>
      </c>
      <c r="F514" s="189" t="str">
        <f ca="1">IFERROR(__xludf.DUMMYFUNCTION("""COMPUTED_VALUE"""),"J")</f>
        <v>J</v>
      </c>
      <c r="G514" s="189">
        <f ca="1">IFERROR(__xludf.DUMMYFUNCTION("""COMPUTED_VALUE"""),1)</f>
        <v>1</v>
      </c>
      <c r="H514" s="196"/>
      <c r="I514" s="196"/>
      <c r="J514" s="196"/>
      <c r="K514" s="196"/>
      <c r="L514" s="196" t="str">
        <v/>
      </c>
      <c r="M514" s="196"/>
    </row>
    <row r="515" spans="1:13" ht="14.4" x14ac:dyDescent="0.3">
      <c r="A515" s="189" t="str">
        <f ca="1">IFERROR(__xludf.DUMMYFUNCTION("""COMPUTED_VALUE"""),"F")</f>
        <v>F</v>
      </c>
      <c r="B515" s="195" t="str">
        <f ca="1">IFERROR(__xludf.DUMMYFUNCTION("""COMPUTED_VALUE"""),"Ava Patel")</f>
        <v>Ava Patel</v>
      </c>
      <c r="C515" s="189">
        <f ca="1">IFERROR(__xludf.DUMMYFUNCTION("""COMPUTED_VALUE"""),10)</f>
        <v>10</v>
      </c>
      <c r="D515" s="189" t="str">
        <f ca="1">IFERROR(__xludf.DUMMYFUNCTION("""COMPUTED_VALUE"""),"G")</f>
        <v>G</v>
      </c>
      <c r="E515" s="189" t="str">
        <f ca="1">IFERROR(__xludf.DUMMYFUNCTION("""COMPUTED_VALUE"""),"F")</f>
        <v>F</v>
      </c>
      <c r="F515" s="189" t="str">
        <f ca="1">IFERROR(__xludf.DUMMYFUNCTION("""COMPUTED_VALUE"""),"J")</f>
        <v>J</v>
      </c>
      <c r="G515" s="189">
        <f ca="1">IFERROR(__xludf.DUMMYFUNCTION("""COMPUTED_VALUE"""),1)</f>
        <v>1</v>
      </c>
      <c r="H515" s="196" t="s">
        <v>225</v>
      </c>
      <c r="I515" s="196"/>
      <c r="J515" s="196" t="s">
        <v>29</v>
      </c>
      <c r="K515" s="196"/>
      <c r="L515" s="196" t="str">
        <v xml:space="preserve"> 47.00</v>
      </c>
      <c r="M515" s="196"/>
    </row>
    <row r="516" spans="1:13" ht="14.4" x14ac:dyDescent="0.3">
      <c r="A516" s="189" t="str">
        <f ca="1">IFERROR(__xludf.DUMMYFUNCTION("""COMPUTED_VALUE"""),"F")</f>
        <v>F</v>
      </c>
      <c r="B516" s="195" t="str">
        <f ca="1">IFERROR(__xludf.DUMMYFUNCTION("""COMPUTED_VALUE"""),"Brynn Strano")</f>
        <v>Brynn Strano</v>
      </c>
      <c r="C516" s="189">
        <f ca="1">IFERROR(__xludf.DUMMYFUNCTION("""COMPUTED_VALUE"""),9)</f>
        <v>9</v>
      </c>
      <c r="D516" s="189" t="str">
        <f ca="1">IFERROR(__xludf.DUMMYFUNCTION("""COMPUTED_VALUE"""),"G")</f>
        <v>G</v>
      </c>
      <c r="E516" s="189" t="str">
        <f ca="1">IFERROR(__xludf.DUMMYFUNCTION("""COMPUTED_VALUE"""),"F")</f>
        <v>F</v>
      </c>
      <c r="F516" s="189" t="str">
        <f ca="1">IFERROR(__xludf.DUMMYFUNCTION("""COMPUTED_VALUE"""),"J")</f>
        <v>J</v>
      </c>
      <c r="G516" s="189">
        <f ca="1">IFERROR(__xludf.DUMMYFUNCTION("""COMPUTED_VALUE"""),1)</f>
        <v>1</v>
      </c>
      <c r="H516" s="196" t="s">
        <v>226</v>
      </c>
      <c r="I516" s="196"/>
      <c r="J516" s="196" t="s">
        <v>29</v>
      </c>
      <c r="K516" s="196"/>
      <c r="L516" s="196" t="str">
        <v xml:space="preserve"> 57.70</v>
      </c>
      <c r="M516" s="196"/>
    </row>
    <row r="517" spans="1:13" ht="14.4" x14ac:dyDescent="0.3">
      <c r="A517" s="189" t="str">
        <f ca="1">IFERROR(__xludf.DUMMYFUNCTION("""COMPUTED_VALUE"""),"F")</f>
        <v>F</v>
      </c>
      <c r="B517" s="195" t="str">
        <f ca="1">IFERROR(__xludf.DUMMYFUNCTION("""COMPUTED_VALUE"""),"Caliah Dumas")</f>
        <v>Caliah Dumas</v>
      </c>
      <c r="C517" s="189">
        <f ca="1">IFERROR(__xludf.DUMMYFUNCTION("""COMPUTED_VALUE"""),5)</f>
        <v>5</v>
      </c>
      <c r="D517" s="189" t="str">
        <f ca="1">IFERROR(__xludf.DUMMYFUNCTION("""COMPUTED_VALUE"""),"G")</f>
        <v>G</v>
      </c>
      <c r="E517" s="189" t="str">
        <f ca="1">IFERROR(__xludf.DUMMYFUNCTION("""COMPUTED_VALUE"""),"F")</f>
        <v>F</v>
      </c>
      <c r="F517" s="189" t="str">
        <f ca="1">IFERROR(__xludf.DUMMYFUNCTION("""COMPUTED_VALUE"""),"J")</f>
        <v>J</v>
      </c>
      <c r="G517" s="189">
        <f ca="1">IFERROR(__xludf.DUMMYFUNCTION("""COMPUTED_VALUE"""),1)</f>
        <v>1</v>
      </c>
      <c r="H517" s="196"/>
      <c r="I517" s="196"/>
      <c r="J517" s="196"/>
      <c r="K517" s="196"/>
      <c r="L517" s="196" t="str">
        <v/>
      </c>
      <c r="M517" s="196"/>
    </row>
    <row r="518" spans="1:13" ht="14.4" x14ac:dyDescent="0.3">
      <c r="A518" s="189" t="str">
        <f ca="1">IFERROR(__xludf.DUMMYFUNCTION("""COMPUTED_VALUE"""),"F")</f>
        <v>F</v>
      </c>
      <c r="B518" s="195" t="str">
        <f ca="1">IFERROR(__xludf.DUMMYFUNCTION("""COMPUTED_VALUE"""),"Calissia Dumas")</f>
        <v>Calissia Dumas</v>
      </c>
      <c r="C518" s="189">
        <f ca="1">IFERROR(__xludf.DUMMYFUNCTION("""COMPUTED_VALUE"""),7)</f>
        <v>7</v>
      </c>
      <c r="D518" s="189" t="str">
        <f ca="1">IFERROR(__xludf.DUMMYFUNCTION("""COMPUTED_VALUE"""),"G")</f>
        <v>G</v>
      </c>
      <c r="E518" s="189" t="str">
        <f ca="1">IFERROR(__xludf.DUMMYFUNCTION("""COMPUTED_VALUE"""),"F")</f>
        <v>F</v>
      </c>
      <c r="F518" s="189" t="str">
        <f ca="1">IFERROR(__xludf.DUMMYFUNCTION("""COMPUTED_VALUE"""),"J")</f>
        <v>J</v>
      </c>
      <c r="G518" s="189">
        <f ca="1">IFERROR(__xludf.DUMMYFUNCTION("""COMPUTED_VALUE"""),1)</f>
        <v>1</v>
      </c>
      <c r="H518" s="196"/>
      <c r="I518" s="196"/>
      <c r="J518" s="196"/>
      <c r="K518" s="196"/>
      <c r="L518" s="196" t="str">
        <v/>
      </c>
      <c r="M518" s="196"/>
    </row>
    <row r="519" spans="1:13" ht="14.4" x14ac:dyDescent="0.3">
      <c r="A519" s="189" t="str">
        <f ca="1">IFERROR(__xludf.DUMMYFUNCTION("""COMPUTED_VALUE"""),"F")</f>
        <v>F</v>
      </c>
      <c r="B519" s="195" t="str">
        <f ca="1">IFERROR(__xludf.DUMMYFUNCTION("""COMPUTED_VALUE"""),"Eliana Smith")</f>
        <v>Eliana Smith</v>
      </c>
      <c r="C519" s="189">
        <f ca="1">IFERROR(__xludf.DUMMYFUNCTION("""COMPUTED_VALUE"""),9)</f>
        <v>9</v>
      </c>
      <c r="D519" s="189" t="str">
        <f ca="1">IFERROR(__xludf.DUMMYFUNCTION("""COMPUTED_VALUE"""),"G")</f>
        <v>G</v>
      </c>
      <c r="E519" s="189" t="str">
        <f ca="1">IFERROR(__xludf.DUMMYFUNCTION("""COMPUTED_VALUE"""),"F")</f>
        <v>F</v>
      </c>
      <c r="F519" s="189" t="str">
        <f ca="1">IFERROR(__xludf.DUMMYFUNCTION("""COMPUTED_VALUE"""),"J")</f>
        <v>J</v>
      </c>
      <c r="G519" s="189">
        <f ca="1">IFERROR(__xludf.DUMMYFUNCTION("""COMPUTED_VALUE"""),1)</f>
        <v>1</v>
      </c>
      <c r="H519" s="196"/>
      <c r="I519" s="196"/>
      <c r="J519" s="196"/>
      <c r="K519" s="196"/>
      <c r="L519" s="196" t="str">
        <v/>
      </c>
      <c r="M519" s="196"/>
    </row>
    <row r="520" spans="1:13" ht="14.4" x14ac:dyDescent="0.3">
      <c r="A520" s="189" t="str">
        <f ca="1">IFERROR(__xludf.DUMMYFUNCTION("""COMPUTED_VALUE"""),"F")</f>
        <v>F</v>
      </c>
      <c r="B520" s="195" t="str">
        <f ca="1">IFERROR(__xludf.DUMMYFUNCTION("""COMPUTED_VALUE"""),"Emmeline Boateng")</f>
        <v>Emmeline Boateng</v>
      </c>
      <c r="C520" s="189">
        <f ca="1">IFERROR(__xludf.DUMMYFUNCTION("""COMPUTED_VALUE"""),9)</f>
        <v>9</v>
      </c>
      <c r="D520" s="189" t="str">
        <f ca="1">IFERROR(__xludf.DUMMYFUNCTION("""COMPUTED_VALUE"""),"G")</f>
        <v>G</v>
      </c>
      <c r="E520" s="189" t="str">
        <f ca="1">IFERROR(__xludf.DUMMYFUNCTION("""COMPUTED_VALUE"""),"F")</f>
        <v>F</v>
      </c>
      <c r="F520" s="189" t="str">
        <f ca="1">IFERROR(__xludf.DUMMYFUNCTION("""COMPUTED_VALUE"""),"J")</f>
        <v>J</v>
      </c>
      <c r="G520" s="189">
        <f ca="1">IFERROR(__xludf.DUMMYFUNCTION("""COMPUTED_VALUE"""),1)</f>
        <v>1</v>
      </c>
      <c r="H520" s="196"/>
      <c r="I520" s="196"/>
      <c r="J520" s="196"/>
      <c r="K520" s="196"/>
      <c r="L520" s="196" t="str">
        <v/>
      </c>
      <c r="M520" s="196"/>
    </row>
    <row r="521" spans="1:13" ht="14.4" x14ac:dyDescent="0.3">
      <c r="A521" s="189" t="str">
        <f ca="1">IFERROR(__xludf.DUMMYFUNCTION("""COMPUTED_VALUE"""),"F")</f>
        <v>F</v>
      </c>
      <c r="B521" s="195" t="str">
        <f ca="1">IFERROR(__xludf.DUMMYFUNCTION("""COMPUTED_VALUE"""),"Gabriela Perosa")</f>
        <v>Gabriela Perosa</v>
      </c>
      <c r="C521" s="189">
        <f ca="1">IFERROR(__xludf.DUMMYFUNCTION("""COMPUTED_VALUE"""),9)</f>
        <v>9</v>
      </c>
      <c r="D521" s="189" t="str">
        <f ca="1">IFERROR(__xludf.DUMMYFUNCTION("""COMPUTED_VALUE"""),"G")</f>
        <v>G</v>
      </c>
      <c r="E521" s="189" t="str">
        <f ca="1">IFERROR(__xludf.DUMMYFUNCTION("""COMPUTED_VALUE"""),"F")</f>
        <v>F</v>
      </c>
      <c r="F521" s="189" t="str">
        <f ca="1">IFERROR(__xludf.DUMMYFUNCTION("""COMPUTED_VALUE"""),"J")</f>
        <v>J</v>
      </c>
      <c r="G521" s="189">
        <f ca="1">IFERROR(__xludf.DUMMYFUNCTION("""COMPUTED_VALUE"""),1)</f>
        <v>1</v>
      </c>
      <c r="H521" s="196"/>
      <c r="I521" s="196"/>
      <c r="J521" s="196"/>
      <c r="K521" s="196"/>
      <c r="L521" s="196" t="str">
        <v/>
      </c>
      <c r="M521" s="196"/>
    </row>
    <row r="522" spans="1:13" ht="14.4" x14ac:dyDescent="0.3">
      <c r="A522" s="189" t="str">
        <f ca="1">IFERROR(__xludf.DUMMYFUNCTION("""COMPUTED_VALUE"""),"F")</f>
        <v>F</v>
      </c>
      <c r="B522" s="195" t="str">
        <f ca="1">IFERROR(__xludf.DUMMYFUNCTION("""COMPUTED_VALUE"""),"Lexi Smith")</f>
        <v>Lexi Smith</v>
      </c>
      <c r="C522" s="189">
        <f ca="1">IFERROR(__xludf.DUMMYFUNCTION("""COMPUTED_VALUE"""),10)</f>
        <v>10</v>
      </c>
      <c r="D522" s="189" t="str">
        <f ca="1">IFERROR(__xludf.DUMMYFUNCTION("""COMPUTED_VALUE"""),"G")</f>
        <v>G</v>
      </c>
      <c r="E522" s="189" t="str">
        <f ca="1">IFERROR(__xludf.DUMMYFUNCTION("""COMPUTED_VALUE"""),"F")</f>
        <v>F</v>
      </c>
      <c r="F522" s="189" t="str">
        <f ca="1">IFERROR(__xludf.DUMMYFUNCTION("""COMPUTED_VALUE"""),"J")</f>
        <v>J</v>
      </c>
      <c r="G522" s="189">
        <f ca="1">IFERROR(__xludf.DUMMYFUNCTION("""COMPUTED_VALUE"""),1)</f>
        <v>1</v>
      </c>
      <c r="H522" s="196"/>
      <c r="I522" s="196"/>
      <c r="J522" s="196"/>
      <c r="K522" s="196"/>
      <c r="L522" s="196" t="str">
        <v/>
      </c>
      <c r="M522" s="196"/>
    </row>
    <row r="523" spans="1:13" ht="14.4" x14ac:dyDescent="0.3">
      <c r="A523" s="189" t="str">
        <f ca="1">IFERROR(__xludf.DUMMYFUNCTION("""COMPUTED_VALUE"""),"F")</f>
        <v>F</v>
      </c>
      <c r="B523" s="195" t="str">
        <f ca="1">IFERROR(__xludf.DUMMYFUNCTION("""COMPUTED_VALUE"""),"Lucy Alizadeh")</f>
        <v>Lucy Alizadeh</v>
      </c>
      <c r="C523" s="189">
        <f ca="1">IFERROR(__xludf.DUMMYFUNCTION("""COMPUTED_VALUE"""),9)</f>
        <v>9</v>
      </c>
      <c r="D523" s="189" t="str">
        <f ca="1">IFERROR(__xludf.DUMMYFUNCTION("""COMPUTED_VALUE"""),"G")</f>
        <v>G</v>
      </c>
      <c r="E523" s="189" t="str">
        <f ca="1">IFERROR(__xludf.DUMMYFUNCTION("""COMPUTED_VALUE"""),"F")</f>
        <v>F</v>
      </c>
      <c r="F523" s="189" t="str">
        <f ca="1">IFERROR(__xludf.DUMMYFUNCTION("""COMPUTED_VALUE"""),"J")</f>
        <v>J</v>
      </c>
      <c r="G523" s="189">
        <f ca="1">IFERROR(__xludf.DUMMYFUNCTION("""COMPUTED_VALUE"""),1)</f>
        <v>1</v>
      </c>
      <c r="H523" s="196"/>
      <c r="I523" s="196"/>
      <c r="J523" s="196"/>
      <c r="K523" s="196"/>
      <c r="L523" s="196" t="str">
        <v/>
      </c>
      <c r="M523" s="196"/>
    </row>
    <row r="524" spans="1:13" ht="14.4" x14ac:dyDescent="0.3">
      <c r="A524" s="189" t="str">
        <f ca="1">IFERROR(__xludf.DUMMYFUNCTION("""COMPUTED_VALUE"""),"F")</f>
        <v>F</v>
      </c>
      <c r="B524" s="195" t="str">
        <f ca="1">IFERROR(__xludf.DUMMYFUNCTION("""COMPUTED_VALUE"""),"Mila Farahi")</f>
        <v>Mila Farahi</v>
      </c>
      <c r="C524" s="189">
        <f ca="1">IFERROR(__xludf.DUMMYFUNCTION("""COMPUTED_VALUE"""),8)</f>
        <v>8</v>
      </c>
      <c r="D524" s="189" t="str">
        <f ca="1">IFERROR(__xludf.DUMMYFUNCTION("""COMPUTED_VALUE"""),"G")</f>
        <v>G</v>
      </c>
      <c r="E524" s="189" t="str">
        <f ca="1">IFERROR(__xludf.DUMMYFUNCTION("""COMPUTED_VALUE"""),"F")</f>
        <v>F</v>
      </c>
      <c r="F524" s="189" t="str">
        <f ca="1">IFERROR(__xludf.DUMMYFUNCTION("""COMPUTED_VALUE"""),"J")</f>
        <v>J</v>
      </c>
      <c r="G524" s="189">
        <f ca="1">IFERROR(__xludf.DUMMYFUNCTION("""COMPUTED_VALUE"""),1)</f>
        <v>1</v>
      </c>
      <c r="H524" s="196" t="s">
        <v>227</v>
      </c>
      <c r="I524" s="196"/>
      <c r="J524" s="196" t="s">
        <v>29</v>
      </c>
      <c r="K524" s="196"/>
      <c r="L524" s="196" t="str">
        <v xml:space="preserve"> 24.00</v>
      </c>
      <c r="M524" s="196"/>
    </row>
    <row r="525" spans="1:13" ht="14.4" x14ac:dyDescent="0.3">
      <c r="A525" s="189" t="str">
        <f ca="1">IFERROR(__xludf.DUMMYFUNCTION("""COMPUTED_VALUE"""),"F")</f>
        <v>F</v>
      </c>
      <c r="B525" s="195" t="str">
        <f ca="1">IFERROR(__xludf.DUMMYFUNCTION("""COMPUTED_VALUE"""),"Nati Dick")</f>
        <v>Nati Dick</v>
      </c>
      <c r="C525" s="189">
        <f ca="1">IFERROR(__xludf.DUMMYFUNCTION("""COMPUTED_VALUE"""),9)</f>
        <v>9</v>
      </c>
      <c r="D525" s="189" t="str">
        <f ca="1">IFERROR(__xludf.DUMMYFUNCTION("""COMPUTED_VALUE"""),"G")</f>
        <v>G</v>
      </c>
      <c r="E525" s="189" t="str">
        <f ca="1">IFERROR(__xludf.DUMMYFUNCTION("""COMPUTED_VALUE"""),"F")</f>
        <v>F</v>
      </c>
      <c r="F525" s="189" t="str">
        <f ca="1">IFERROR(__xludf.DUMMYFUNCTION("""COMPUTED_VALUE"""),"J")</f>
        <v>J</v>
      </c>
      <c r="G525" s="189">
        <f ca="1">IFERROR(__xludf.DUMMYFUNCTION("""COMPUTED_VALUE"""),1)</f>
        <v>1</v>
      </c>
      <c r="H525" s="196"/>
      <c r="I525" s="196"/>
      <c r="J525" s="196"/>
      <c r="K525" s="196"/>
      <c r="L525" s="196" t="str">
        <v/>
      </c>
      <c r="M525" s="196"/>
    </row>
    <row r="526" spans="1:13" ht="14.4" x14ac:dyDescent="0.3">
      <c r="A526" s="189" t="str">
        <f ca="1">IFERROR(__xludf.DUMMYFUNCTION("""COMPUTED_VALUE"""),"F")</f>
        <v>F</v>
      </c>
      <c r="B526" s="195" t="str">
        <f ca="1">IFERROR(__xludf.DUMMYFUNCTION("""COMPUTED_VALUE"""),"Rosie Han")</f>
        <v>Rosie Han</v>
      </c>
      <c r="C526" s="189">
        <f ca="1">IFERROR(__xludf.DUMMYFUNCTION("""COMPUTED_VALUE"""),8)</f>
        <v>8</v>
      </c>
      <c r="D526" s="189" t="str">
        <f ca="1">IFERROR(__xludf.DUMMYFUNCTION("""COMPUTED_VALUE"""),"G")</f>
        <v>G</v>
      </c>
      <c r="E526" s="189" t="str">
        <f ca="1">IFERROR(__xludf.DUMMYFUNCTION("""COMPUTED_VALUE"""),"F")</f>
        <v>F</v>
      </c>
      <c r="F526" s="189" t="str">
        <f ca="1">IFERROR(__xludf.DUMMYFUNCTION("""COMPUTED_VALUE"""),"J")</f>
        <v>J</v>
      </c>
      <c r="G526" s="189">
        <f ca="1">IFERROR(__xludf.DUMMYFUNCTION("""COMPUTED_VALUE"""),1)</f>
        <v>1</v>
      </c>
      <c r="H526" s="196"/>
      <c r="I526" s="196"/>
      <c r="J526" s="196"/>
      <c r="K526" s="196"/>
      <c r="L526" s="196" t="str">
        <v/>
      </c>
      <c r="M526" s="196"/>
    </row>
    <row r="527" spans="1:13" ht="14.4" x14ac:dyDescent="0.3">
      <c r="A527" s="189" t="str">
        <f ca="1">IFERROR(__xludf.DUMMYFUNCTION("""COMPUTED_VALUE"""),"F")</f>
        <v>F</v>
      </c>
      <c r="B527" s="195" t="str">
        <f ca="1">IFERROR(__xludf.DUMMYFUNCTION("""COMPUTED_VALUE"""),"Valerie Devlin")</f>
        <v>Valerie Devlin</v>
      </c>
      <c r="C527" s="189">
        <f ca="1">IFERROR(__xludf.DUMMYFUNCTION("""COMPUTED_VALUE"""),6)</f>
        <v>6</v>
      </c>
      <c r="D527" s="189" t="str">
        <f ca="1">IFERROR(__xludf.DUMMYFUNCTION("""COMPUTED_VALUE"""),"G")</f>
        <v>G</v>
      </c>
      <c r="E527" s="189" t="str">
        <f ca="1">IFERROR(__xludf.DUMMYFUNCTION("""COMPUTED_VALUE"""),"F")</f>
        <v>F</v>
      </c>
      <c r="F527" s="189" t="str">
        <f ca="1">IFERROR(__xludf.DUMMYFUNCTION("""COMPUTED_VALUE"""),"J")</f>
        <v>J</v>
      </c>
      <c r="G527" s="189">
        <f ca="1">IFERROR(__xludf.DUMMYFUNCTION("""COMPUTED_VALUE"""),1)</f>
        <v>1</v>
      </c>
      <c r="H527" s="196" t="s">
        <v>228</v>
      </c>
      <c r="I527" s="196"/>
      <c r="J527" s="196" t="s">
        <v>29</v>
      </c>
      <c r="K527" s="196"/>
      <c r="L527" s="196" t="str">
        <v xml:space="preserve"> 37.60</v>
      </c>
      <c r="M527" s="196"/>
    </row>
    <row r="528" spans="1:13" ht="14.4" x14ac:dyDescent="0.3">
      <c r="A528" s="189" t="str">
        <f ca="1">IFERROR(__xludf.DUMMYFUNCTION("""COMPUTED_VALUE"""),"F")</f>
        <v>F</v>
      </c>
      <c r="B528" s="195" t="str">
        <f ca="1">IFERROR(__xludf.DUMMYFUNCTION("""COMPUTED_VALUE"""),"Vivie Bucher")</f>
        <v>Vivie Bucher</v>
      </c>
      <c r="C528" s="189">
        <f ca="1">IFERROR(__xludf.DUMMYFUNCTION("""COMPUTED_VALUE"""),8)</f>
        <v>8</v>
      </c>
      <c r="D528" s="189" t="str">
        <f ca="1">IFERROR(__xludf.DUMMYFUNCTION("""COMPUTED_VALUE"""),"G")</f>
        <v>G</v>
      </c>
      <c r="E528" s="189" t="str">
        <f ca="1">IFERROR(__xludf.DUMMYFUNCTION("""COMPUTED_VALUE"""),"F")</f>
        <v>F</v>
      </c>
      <c r="F528" s="189" t="str">
        <f ca="1">IFERROR(__xludf.DUMMYFUNCTION("""COMPUTED_VALUE"""),"J")</f>
        <v>J</v>
      </c>
      <c r="G528" s="189">
        <f ca="1">IFERROR(__xludf.DUMMYFUNCTION("""COMPUTED_VALUE"""),1)</f>
        <v>1</v>
      </c>
      <c r="H528" s="196"/>
      <c r="I528" s="196"/>
      <c r="J528" s="196"/>
      <c r="K528" s="196"/>
      <c r="L528" s="196" t="str">
        <v/>
      </c>
      <c r="M528" s="196"/>
    </row>
    <row r="529" spans="1:13" ht="14.4" x14ac:dyDescent="0.3">
      <c r="A529" s="189" t="str">
        <f ca="1">IFERROR(__xludf.DUMMYFUNCTION("""COMPUTED_VALUE"""),"F")</f>
        <v>F</v>
      </c>
      <c r="B529" s="195" t="str">
        <f ca="1">IFERROR(__xludf.DUMMYFUNCTION("""COMPUTED_VALUE"""),"Arthur Fleischer")</f>
        <v>Arthur Fleischer</v>
      </c>
      <c r="C529" s="189">
        <f ca="1">IFERROR(__xludf.DUMMYFUNCTION("""COMPUTED_VALUE"""),9)</f>
        <v>9</v>
      </c>
      <c r="D529" s="189" t="str">
        <f ca="1">IFERROR(__xludf.DUMMYFUNCTION("""COMPUTED_VALUE"""),"B")</f>
        <v>B</v>
      </c>
      <c r="E529" s="189" t="str">
        <f ca="1">IFERROR(__xludf.DUMMYFUNCTION("""COMPUTED_VALUE"""),"F")</f>
        <v>F</v>
      </c>
      <c r="F529" s="189" t="str">
        <f ca="1">IFERROR(__xludf.DUMMYFUNCTION("""COMPUTED_VALUE"""),"J")</f>
        <v>J</v>
      </c>
      <c r="G529" s="189">
        <f ca="1">IFERROR(__xludf.DUMMYFUNCTION("""COMPUTED_VALUE"""),1)</f>
        <v>1</v>
      </c>
      <c r="H529" s="196"/>
      <c r="I529" s="196"/>
      <c r="J529" s="196"/>
      <c r="K529" s="196"/>
      <c r="L529" s="196" t="str">
        <v/>
      </c>
      <c r="M529" s="196"/>
    </row>
    <row r="530" spans="1:13" ht="14.4" x14ac:dyDescent="0.3">
      <c r="A530" s="189" t="str">
        <f ca="1">IFERROR(__xludf.DUMMYFUNCTION("""COMPUTED_VALUE"""),"F")</f>
        <v>F</v>
      </c>
      <c r="B530" s="195" t="str">
        <f ca="1">IFERROR(__xludf.DUMMYFUNCTION("""COMPUTED_VALUE"""),"Connor Barron")</f>
        <v>Connor Barron</v>
      </c>
      <c r="C530" s="189">
        <f ca="1">IFERROR(__xludf.DUMMYFUNCTION("""COMPUTED_VALUE"""),10)</f>
        <v>10</v>
      </c>
      <c r="D530" s="189" t="str">
        <f ca="1">IFERROR(__xludf.DUMMYFUNCTION("""COMPUTED_VALUE"""),"B")</f>
        <v>B</v>
      </c>
      <c r="E530" s="189" t="str">
        <f ca="1">IFERROR(__xludf.DUMMYFUNCTION("""COMPUTED_VALUE"""),"F")</f>
        <v>F</v>
      </c>
      <c r="F530" s="189" t="str">
        <f ca="1">IFERROR(__xludf.DUMMYFUNCTION("""COMPUTED_VALUE"""),"J")</f>
        <v>J</v>
      </c>
      <c r="G530" s="189">
        <f ca="1">IFERROR(__xludf.DUMMYFUNCTION("""COMPUTED_VALUE"""),1)</f>
        <v>1</v>
      </c>
      <c r="H530" s="196" t="s">
        <v>229</v>
      </c>
      <c r="I530" s="196"/>
      <c r="J530" s="196" t="s">
        <v>29</v>
      </c>
      <c r="K530" s="196"/>
      <c r="L530" s="196" t="str">
        <v xml:space="preserve"> 83.55</v>
      </c>
      <c r="M530" s="196"/>
    </row>
    <row r="531" spans="1:13" ht="14.4" x14ac:dyDescent="0.3">
      <c r="A531" s="189" t="str">
        <f ca="1">IFERROR(__xludf.DUMMYFUNCTION("""COMPUTED_VALUE"""),"F")</f>
        <v>F</v>
      </c>
      <c r="B531" s="195" t="str">
        <f ca="1">IFERROR(__xludf.DUMMYFUNCTION("""COMPUTED_VALUE"""),"Drew Winslow")</f>
        <v>Drew Winslow</v>
      </c>
      <c r="C531" s="189">
        <f ca="1">IFERROR(__xludf.DUMMYFUNCTION("""COMPUTED_VALUE"""),7)</f>
        <v>7</v>
      </c>
      <c r="D531" s="189" t="str">
        <f ca="1">IFERROR(__xludf.DUMMYFUNCTION("""COMPUTED_VALUE"""),"B")</f>
        <v>B</v>
      </c>
      <c r="E531" s="189" t="str">
        <f ca="1">IFERROR(__xludf.DUMMYFUNCTION("""COMPUTED_VALUE"""),"F")</f>
        <v>F</v>
      </c>
      <c r="F531" s="189" t="str">
        <f ca="1">IFERROR(__xludf.DUMMYFUNCTION("""COMPUTED_VALUE"""),"J")</f>
        <v>J</v>
      </c>
      <c r="G531" s="189">
        <f ca="1">IFERROR(__xludf.DUMMYFUNCTION("""COMPUTED_VALUE"""),1)</f>
        <v>1</v>
      </c>
      <c r="H531" s="196"/>
      <c r="I531" s="196"/>
      <c r="J531" s="196"/>
      <c r="K531" s="196"/>
      <c r="L531" s="196" t="str">
        <v/>
      </c>
      <c r="M531" s="196"/>
    </row>
    <row r="532" spans="1:13" ht="14.4" x14ac:dyDescent="0.3">
      <c r="A532" s="189" t="str">
        <f ca="1">IFERROR(__xludf.DUMMYFUNCTION("""COMPUTED_VALUE"""),"F")</f>
        <v>F</v>
      </c>
      <c r="B532" s="195" t="str">
        <f ca="1">IFERROR(__xludf.DUMMYFUNCTION("""COMPUTED_VALUE"""),"Francis Smith")</f>
        <v>Francis Smith</v>
      </c>
      <c r="C532" s="189">
        <f ca="1">IFERROR(__xludf.DUMMYFUNCTION("""COMPUTED_VALUE"""),8)</f>
        <v>8</v>
      </c>
      <c r="D532" s="189" t="str">
        <f ca="1">IFERROR(__xludf.DUMMYFUNCTION("""COMPUTED_VALUE"""),"B")</f>
        <v>B</v>
      </c>
      <c r="E532" s="189" t="str">
        <f ca="1">IFERROR(__xludf.DUMMYFUNCTION("""COMPUTED_VALUE"""),"F")</f>
        <v>F</v>
      </c>
      <c r="F532" s="189" t="str">
        <f ca="1">IFERROR(__xludf.DUMMYFUNCTION("""COMPUTED_VALUE"""),"J")</f>
        <v>J</v>
      </c>
      <c r="G532" s="189">
        <f ca="1">IFERROR(__xludf.DUMMYFUNCTION("""COMPUTED_VALUE"""),1)</f>
        <v>1</v>
      </c>
      <c r="H532" s="196"/>
      <c r="I532" s="196"/>
      <c r="J532" s="196"/>
      <c r="K532" s="196"/>
      <c r="L532" s="196" t="str">
        <v/>
      </c>
      <c r="M532" s="196"/>
    </row>
    <row r="533" spans="1:13" ht="14.4" x14ac:dyDescent="0.3">
      <c r="A533" s="189" t="str">
        <f ca="1">IFERROR(__xludf.DUMMYFUNCTION("""COMPUTED_VALUE"""),"F")</f>
        <v>F</v>
      </c>
      <c r="B533" s="195" t="str">
        <f ca="1">IFERROR(__xludf.DUMMYFUNCTION("""COMPUTED_VALUE"""),"Gio Flores")</f>
        <v>Gio Flores</v>
      </c>
      <c r="C533" s="189">
        <f ca="1">IFERROR(__xludf.DUMMYFUNCTION("""COMPUTED_VALUE"""),9)</f>
        <v>9</v>
      </c>
      <c r="D533" s="189" t="str">
        <f ca="1">IFERROR(__xludf.DUMMYFUNCTION("""COMPUTED_VALUE"""),"B")</f>
        <v>B</v>
      </c>
      <c r="E533" s="189" t="str">
        <f ca="1">IFERROR(__xludf.DUMMYFUNCTION("""COMPUTED_VALUE"""),"F")</f>
        <v>F</v>
      </c>
      <c r="F533" s="189" t="str">
        <f ca="1">IFERROR(__xludf.DUMMYFUNCTION("""COMPUTED_VALUE"""),"J")</f>
        <v>J</v>
      </c>
      <c r="G533" s="189">
        <f ca="1">IFERROR(__xludf.DUMMYFUNCTION("""COMPUTED_VALUE"""),1)</f>
        <v>1</v>
      </c>
      <c r="H533" s="196"/>
      <c r="I533" s="196"/>
      <c r="J533" s="196"/>
      <c r="K533" s="196"/>
      <c r="L533" s="196" t="str">
        <v/>
      </c>
      <c r="M533" s="196"/>
    </row>
    <row r="534" spans="1:13" ht="14.4" x14ac:dyDescent="0.3">
      <c r="A534" s="189" t="str">
        <f ca="1">IFERROR(__xludf.DUMMYFUNCTION("""COMPUTED_VALUE"""),"F")</f>
        <v>F</v>
      </c>
      <c r="B534" s="195" t="str">
        <f ca="1">IFERROR(__xludf.DUMMYFUNCTION("""COMPUTED_VALUE"""),"Grady Kight")</f>
        <v>Grady Kight</v>
      </c>
      <c r="C534" s="189">
        <f ca="1">IFERROR(__xludf.DUMMYFUNCTION("""COMPUTED_VALUE"""),9)</f>
        <v>9</v>
      </c>
      <c r="D534" s="189" t="str">
        <f ca="1">IFERROR(__xludf.DUMMYFUNCTION("""COMPUTED_VALUE"""),"B")</f>
        <v>B</v>
      </c>
      <c r="E534" s="189" t="str">
        <f ca="1">IFERROR(__xludf.DUMMYFUNCTION("""COMPUTED_VALUE"""),"F")</f>
        <v>F</v>
      </c>
      <c r="F534" s="189" t="str">
        <f ca="1">IFERROR(__xludf.DUMMYFUNCTION("""COMPUTED_VALUE"""),"J")</f>
        <v>J</v>
      </c>
      <c r="G534" s="189">
        <f ca="1">IFERROR(__xludf.DUMMYFUNCTION("""COMPUTED_VALUE"""),1)</f>
        <v>1</v>
      </c>
      <c r="H534" s="196"/>
      <c r="I534" s="196"/>
      <c r="J534" s="196"/>
      <c r="K534" s="196"/>
      <c r="L534" s="196" t="str">
        <v/>
      </c>
      <c r="M534" s="196"/>
    </row>
    <row r="535" spans="1:13" ht="14.4" x14ac:dyDescent="0.3">
      <c r="A535" s="189" t="str">
        <f ca="1">IFERROR(__xludf.DUMMYFUNCTION("""COMPUTED_VALUE"""),"F")</f>
        <v>F</v>
      </c>
      <c r="B535" s="195" t="str">
        <f ca="1">IFERROR(__xludf.DUMMYFUNCTION("""COMPUTED_VALUE"""),"Guayo Flores")</f>
        <v>Guayo Flores</v>
      </c>
      <c r="C535" s="189">
        <f ca="1">IFERROR(__xludf.DUMMYFUNCTION("""COMPUTED_VALUE"""),7)</f>
        <v>7</v>
      </c>
      <c r="D535" s="189" t="str">
        <f ca="1">IFERROR(__xludf.DUMMYFUNCTION("""COMPUTED_VALUE"""),"B")</f>
        <v>B</v>
      </c>
      <c r="E535" s="189" t="str">
        <f ca="1">IFERROR(__xludf.DUMMYFUNCTION("""COMPUTED_VALUE"""),"F")</f>
        <v>F</v>
      </c>
      <c r="F535" s="189" t="str">
        <f ca="1">IFERROR(__xludf.DUMMYFUNCTION("""COMPUTED_VALUE"""),"J")</f>
        <v>J</v>
      </c>
      <c r="G535" s="189">
        <f ca="1">IFERROR(__xludf.DUMMYFUNCTION("""COMPUTED_VALUE"""),1)</f>
        <v>1</v>
      </c>
      <c r="H535" s="196"/>
      <c r="I535" s="196"/>
      <c r="J535" s="196"/>
      <c r="K535" s="196"/>
      <c r="L535" s="196" t="str">
        <v/>
      </c>
      <c r="M535" s="196"/>
    </row>
    <row r="536" spans="1:13" ht="14.4" x14ac:dyDescent="0.3">
      <c r="A536" s="189" t="str">
        <f ca="1">IFERROR(__xludf.DUMMYFUNCTION("""COMPUTED_VALUE"""),"F")</f>
        <v>F</v>
      </c>
      <c r="B536" s="195" t="str">
        <f ca="1">IFERROR(__xludf.DUMMYFUNCTION("""COMPUTED_VALUE"""),"Gus Medina-Keith")</f>
        <v>Gus Medina-Keith</v>
      </c>
      <c r="C536" s="189">
        <f ca="1">IFERROR(__xludf.DUMMYFUNCTION("""COMPUTED_VALUE"""),7)</f>
        <v>7</v>
      </c>
      <c r="D536" s="189" t="str">
        <f ca="1">IFERROR(__xludf.DUMMYFUNCTION("""COMPUTED_VALUE"""),"B")</f>
        <v>B</v>
      </c>
      <c r="E536" s="189" t="str">
        <f ca="1">IFERROR(__xludf.DUMMYFUNCTION("""COMPUTED_VALUE"""),"F")</f>
        <v>F</v>
      </c>
      <c r="F536" s="189" t="str">
        <f ca="1">IFERROR(__xludf.DUMMYFUNCTION("""COMPUTED_VALUE"""),"J")</f>
        <v>J</v>
      </c>
      <c r="G536" s="189">
        <f ca="1">IFERROR(__xludf.DUMMYFUNCTION("""COMPUTED_VALUE"""),1)</f>
        <v>1</v>
      </c>
      <c r="H536" s="196"/>
      <c r="I536" s="196"/>
      <c r="J536" s="196"/>
      <c r="K536" s="196"/>
      <c r="L536" s="196" t="str">
        <v/>
      </c>
      <c r="M536" s="196"/>
    </row>
    <row r="537" spans="1:13" ht="14.4" x14ac:dyDescent="0.3">
      <c r="A537" s="189" t="str">
        <f ca="1">IFERROR(__xludf.DUMMYFUNCTION("""COMPUTED_VALUE"""),"F")</f>
        <v>F</v>
      </c>
      <c r="B537" s="195" t="str">
        <f ca="1">IFERROR(__xludf.DUMMYFUNCTION("""COMPUTED_VALUE"""),"Jack Devlin")</f>
        <v>Jack Devlin</v>
      </c>
      <c r="C537" s="189">
        <f ca="1">IFERROR(__xludf.DUMMYFUNCTION("""COMPUTED_VALUE"""),10)</f>
        <v>10</v>
      </c>
      <c r="D537" s="189" t="str">
        <f ca="1">IFERROR(__xludf.DUMMYFUNCTION("""COMPUTED_VALUE"""),"B")</f>
        <v>B</v>
      </c>
      <c r="E537" s="189" t="str">
        <f ca="1">IFERROR(__xludf.DUMMYFUNCTION("""COMPUTED_VALUE"""),"F")</f>
        <v>F</v>
      </c>
      <c r="F537" s="189" t="str">
        <f ca="1">IFERROR(__xludf.DUMMYFUNCTION("""COMPUTED_VALUE"""),"J")</f>
        <v>J</v>
      </c>
      <c r="G537" s="189">
        <f ca="1">IFERROR(__xludf.DUMMYFUNCTION("""COMPUTED_VALUE"""),1)</f>
        <v>1</v>
      </c>
      <c r="H537" s="196"/>
      <c r="I537" s="196"/>
      <c r="J537" s="196"/>
      <c r="K537" s="196"/>
      <c r="L537" s="196" t="str">
        <v/>
      </c>
      <c r="M537" s="196"/>
    </row>
    <row r="538" spans="1:13" ht="14.4" x14ac:dyDescent="0.3">
      <c r="A538" s="189" t="str">
        <f ca="1">IFERROR(__xludf.DUMMYFUNCTION("""COMPUTED_VALUE"""),"F")</f>
        <v>F</v>
      </c>
      <c r="B538" s="195" t="str">
        <f ca="1">IFERROR(__xludf.DUMMYFUNCTION("""COMPUTED_VALUE"""),"Jasper Carpenter")</f>
        <v>Jasper Carpenter</v>
      </c>
      <c r="C538" s="189">
        <f ca="1">IFERROR(__xludf.DUMMYFUNCTION("""COMPUTED_VALUE"""),9)</f>
        <v>9</v>
      </c>
      <c r="D538" s="189" t="str">
        <f ca="1">IFERROR(__xludf.DUMMYFUNCTION("""COMPUTED_VALUE"""),"B")</f>
        <v>B</v>
      </c>
      <c r="E538" s="189" t="str">
        <f ca="1">IFERROR(__xludf.DUMMYFUNCTION("""COMPUTED_VALUE"""),"F")</f>
        <v>F</v>
      </c>
      <c r="F538" s="189" t="str">
        <f ca="1">IFERROR(__xludf.DUMMYFUNCTION("""COMPUTED_VALUE"""),"J")</f>
        <v>J</v>
      </c>
      <c r="G538" s="189">
        <f ca="1">IFERROR(__xludf.DUMMYFUNCTION("""COMPUTED_VALUE"""),1)</f>
        <v>1</v>
      </c>
      <c r="H538" s="196" t="s">
        <v>164</v>
      </c>
      <c r="I538" s="196"/>
      <c r="J538" s="196" t="s">
        <v>29</v>
      </c>
      <c r="K538" s="196"/>
      <c r="L538" s="196" t="str">
        <v xml:space="preserve"> 53.25</v>
      </c>
      <c r="M538" s="196"/>
    </row>
    <row r="539" spans="1:13" ht="14.4" x14ac:dyDescent="0.3">
      <c r="A539" s="189" t="str">
        <f ca="1">IFERROR(__xludf.DUMMYFUNCTION("""COMPUTED_VALUE"""),"F")</f>
        <v>F</v>
      </c>
      <c r="B539" s="195" t="str">
        <f ca="1">IFERROR(__xludf.DUMMYFUNCTION("""COMPUTED_VALUE"""),"Julian Medina-Keith")</f>
        <v>Julian Medina-Keith</v>
      </c>
      <c r="C539" s="189">
        <f ca="1">IFERROR(__xludf.DUMMYFUNCTION("""COMPUTED_VALUE"""),7)</f>
        <v>7</v>
      </c>
      <c r="D539" s="189" t="str">
        <f ca="1">IFERROR(__xludf.DUMMYFUNCTION("""COMPUTED_VALUE"""),"B")</f>
        <v>B</v>
      </c>
      <c r="E539" s="189" t="str">
        <f ca="1">IFERROR(__xludf.DUMMYFUNCTION("""COMPUTED_VALUE"""),"F")</f>
        <v>F</v>
      </c>
      <c r="F539" s="189" t="str">
        <f ca="1">IFERROR(__xludf.DUMMYFUNCTION("""COMPUTED_VALUE"""),"J")</f>
        <v>J</v>
      </c>
      <c r="G539" s="189">
        <f ca="1">IFERROR(__xludf.DUMMYFUNCTION("""COMPUTED_VALUE"""),1)</f>
        <v>1</v>
      </c>
      <c r="H539" s="196"/>
      <c r="I539" s="196"/>
      <c r="J539" s="196"/>
      <c r="K539" s="196"/>
      <c r="L539" s="196" t="str">
        <v/>
      </c>
      <c r="M539" s="196"/>
    </row>
    <row r="540" spans="1:13" ht="14.4" x14ac:dyDescent="0.3">
      <c r="A540" s="189" t="str">
        <f ca="1">IFERROR(__xludf.DUMMYFUNCTION("""COMPUTED_VALUE"""),"F")</f>
        <v>F</v>
      </c>
      <c r="B540" s="195" t="str">
        <f ca="1">IFERROR(__xludf.DUMMYFUNCTION("""COMPUTED_VALUE"""),"Liam Zheng")</f>
        <v>Liam Zheng</v>
      </c>
      <c r="C540" s="189">
        <f ca="1">IFERROR(__xludf.DUMMYFUNCTION("""COMPUTED_VALUE"""),9)</f>
        <v>9</v>
      </c>
      <c r="D540" s="189" t="str">
        <f ca="1">IFERROR(__xludf.DUMMYFUNCTION("""COMPUTED_VALUE"""),"B")</f>
        <v>B</v>
      </c>
      <c r="E540" s="189" t="str">
        <f ca="1">IFERROR(__xludf.DUMMYFUNCTION("""COMPUTED_VALUE"""),"F")</f>
        <v>F</v>
      </c>
      <c r="F540" s="189" t="str">
        <f ca="1">IFERROR(__xludf.DUMMYFUNCTION("""COMPUTED_VALUE"""),"J")</f>
        <v>J</v>
      </c>
      <c r="G540" s="189">
        <f ca="1">IFERROR(__xludf.DUMMYFUNCTION("""COMPUTED_VALUE"""),1)</f>
        <v>1</v>
      </c>
      <c r="H540" s="196"/>
      <c r="I540" s="196"/>
      <c r="J540" s="196"/>
      <c r="K540" s="196"/>
      <c r="L540" s="196" t="str">
        <v/>
      </c>
      <c r="M540" s="196"/>
    </row>
    <row r="541" spans="1:13" ht="14.4" x14ac:dyDescent="0.3">
      <c r="A541" s="189" t="str">
        <f ca="1">IFERROR(__xludf.DUMMYFUNCTION("""COMPUTED_VALUE"""),"F")</f>
        <v>F</v>
      </c>
      <c r="B541" s="195" t="str">
        <f ca="1">IFERROR(__xludf.DUMMYFUNCTION("""COMPUTED_VALUE"""),"Martin Streckfus-Green")</f>
        <v>Martin Streckfus-Green</v>
      </c>
      <c r="C541" s="189">
        <f ca="1">IFERROR(__xludf.DUMMYFUNCTION("""COMPUTED_VALUE"""),9)</f>
        <v>9</v>
      </c>
      <c r="D541" s="189" t="str">
        <f ca="1">IFERROR(__xludf.DUMMYFUNCTION("""COMPUTED_VALUE"""),"B")</f>
        <v>B</v>
      </c>
      <c r="E541" s="189" t="str">
        <f ca="1">IFERROR(__xludf.DUMMYFUNCTION("""COMPUTED_VALUE"""),"F")</f>
        <v>F</v>
      </c>
      <c r="F541" s="189" t="str">
        <f ca="1">IFERROR(__xludf.DUMMYFUNCTION("""COMPUTED_VALUE"""),"J")</f>
        <v>J</v>
      </c>
      <c r="G541" s="189">
        <f ca="1">IFERROR(__xludf.DUMMYFUNCTION("""COMPUTED_VALUE"""),1)</f>
        <v>1</v>
      </c>
      <c r="H541" s="196"/>
      <c r="I541" s="196"/>
      <c r="J541" s="196"/>
      <c r="K541" s="196"/>
      <c r="L541" s="196" t="str">
        <v/>
      </c>
      <c r="M541" s="196"/>
    </row>
    <row r="542" spans="1:13" ht="14.4" x14ac:dyDescent="0.3">
      <c r="A542" s="189" t="str">
        <f ca="1">IFERROR(__xludf.DUMMYFUNCTION("""COMPUTED_VALUE"""),"F")</f>
        <v>F</v>
      </c>
      <c r="B542" s="195" t="str">
        <f ca="1">IFERROR(__xludf.DUMMYFUNCTION("""COMPUTED_VALUE"""),"Will Winslow")</f>
        <v>Will Winslow</v>
      </c>
      <c r="C542" s="189">
        <f ca="1">IFERROR(__xludf.DUMMYFUNCTION("""COMPUTED_VALUE"""),5)</f>
        <v>5</v>
      </c>
      <c r="D542" s="189" t="str">
        <f ca="1">IFERROR(__xludf.DUMMYFUNCTION("""COMPUTED_VALUE"""),"B")</f>
        <v>B</v>
      </c>
      <c r="E542" s="189" t="str">
        <f ca="1">IFERROR(__xludf.DUMMYFUNCTION("""COMPUTED_VALUE"""),"F")</f>
        <v>F</v>
      </c>
      <c r="F542" s="189" t="str">
        <f ca="1">IFERROR(__xludf.DUMMYFUNCTION("""COMPUTED_VALUE"""),"J")</f>
        <v>J</v>
      </c>
      <c r="G542" s="189">
        <f ca="1">IFERROR(__xludf.DUMMYFUNCTION("""COMPUTED_VALUE"""),1)</f>
        <v>1</v>
      </c>
      <c r="H542" s="196"/>
      <c r="I542" s="196"/>
      <c r="J542" s="196"/>
      <c r="K542" s="196"/>
      <c r="L542" s="196" t="str">
        <v/>
      </c>
      <c r="M542" s="196"/>
    </row>
    <row r="543" spans="1:13" ht="14.4" x14ac:dyDescent="0.3">
      <c r="A543" s="189" t="str">
        <f ca="1">IFERROR(__xludf.DUMMYFUNCTION("""COMPUTED_VALUE"""),"F")</f>
        <v>F</v>
      </c>
      <c r="B543" s="195" t="str">
        <f ca="1">IFERROR(__xludf.DUMMYFUNCTION("""COMPUTED_VALUE"""),"Beatriz Perosa")</f>
        <v>Beatriz Perosa</v>
      </c>
      <c r="C543" s="189">
        <f ca="1">IFERROR(__xludf.DUMMYFUNCTION("""COMPUTED_VALUE"""),13)</f>
        <v>13</v>
      </c>
      <c r="D543" s="189" t="str">
        <f ca="1">IFERROR(__xludf.DUMMYFUNCTION("""COMPUTED_VALUE"""),"G")</f>
        <v>G</v>
      </c>
      <c r="E543" s="189" t="str">
        <f ca="1">IFERROR(__xludf.DUMMYFUNCTION("""COMPUTED_VALUE"""),"I")</f>
        <v>I</v>
      </c>
      <c r="F543" s="189" t="str">
        <f ca="1">IFERROR(__xludf.DUMMYFUNCTION("""COMPUTED_VALUE"""),"S")</f>
        <v>S</v>
      </c>
      <c r="G543" s="189">
        <f ca="1">IFERROR(__xludf.DUMMYFUNCTION("""COMPUTED_VALUE"""),1)</f>
        <v>1</v>
      </c>
      <c r="H543" s="196"/>
      <c r="I543" s="196"/>
      <c r="J543" s="196"/>
      <c r="K543" s="196"/>
      <c r="L543" s="196" t="str">
        <v/>
      </c>
      <c r="M543" s="196"/>
    </row>
    <row r="544" spans="1:13" ht="14.4" x14ac:dyDescent="0.3">
      <c r="A544" s="189" t="str">
        <f ca="1">IFERROR(__xludf.DUMMYFUNCTION("""COMPUTED_VALUE"""),"F")</f>
        <v>F</v>
      </c>
      <c r="B544" s="195" t="str">
        <f ca="1">IFERROR(__xludf.DUMMYFUNCTION("""COMPUTED_VALUE"""),"Cally Codding")</f>
        <v>Cally Codding</v>
      </c>
      <c r="C544" s="189">
        <f ca="1">IFERROR(__xludf.DUMMYFUNCTION("""COMPUTED_VALUE"""),14)</f>
        <v>14</v>
      </c>
      <c r="D544" s="189" t="str">
        <f ca="1">IFERROR(__xludf.DUMMYFUNCTION("""COMPUTED_VALUE"""),"G")</f>
        <v>G</v>
      </c>
      <c r="E544" s="189" t="str">
        <f ca="1">IFERROR(__xludf.DUMMYFUNCTION("""COMPUTED_VALUE"""),"I")</f>
        <v>I</v>
      </c>
      <c r="F544" s="189" t="str">
        <f ca="1">IFERROR(__xludf.DUMMYFUNCTION("""COMPUTED_VALUE"""),"S")</f>
        <v>S</v>
      </c>
      <c r="G544" s="189">
        <f ca="1">IFERROR(__xludf.DUMMYFUNCTION("""COMPUTED_VALUE"""),1)</f>
        <v>1</v>
      </c>
      <c r="H544" s="196" t="s">
        <v>230</v>
      </c>
      <c r="I544" s="196"/>
      <c r="J544" s="196" t="s">
        <v>29</v>
      </c>
      <c r="K544" s="196"/>
      <c r="L544" s="196" t="str">
        <v xml:space="preserve"> 144.00</v>
      </c>
      <c r="M544" s="196"/>
    </row>
    <row r="545" spans="1:13" ht="14.4" x14ac:dyDescent="0.3">
      <c r="A545" s="189" t="str">
        <f ca="1">IFERROR(__xludf.DUMMYFUNCTION("""COMPUTED_VALUE"""),"F")</f>
        <v>F</v>
      </c>
      <c r="B545" s="195" t="str">
        <f ca="1">IFERROR(__xludf.DUMMYFUNCTION("""COMPUTED_VALUE"""),"Carleigh Devlin")</f>
        <v>Carleigh Devlin</v>
      </c>
      <c r="C545" s="189">
        <f ca="1">IFERROR(__xludf.DUMMYFUNCTION("""COMPUTED_VALUE"""),13)</f>
        <v>13</v>
      </c>
      <c r="D545" s="189" t="str">
        <f ca="1">IFERROR(__xludf.DUMMYFUNCTION("""COMPUTED_VALUE"""),"G")</f>
        <v>G</v>
      </c>
      <c r="E545" s="189" t="str">
        <f ca="1">IFERROR(__xludf.DUMMYFUNCTION("""COMPUTED_VALUE"""),"I")</f>
        <v>I</v>
      </c>
      <c r="F545" s="189" t="str">
        <f ca="1">IFERROR(__xludf.DUMMYFUNCTION("""COMPUTED_VALUE"""),"S")</f>
        <v>S</v>
      </c>
      <c r="G545" s="189">
        <f ca="1">IFERROR(__xludf.DUMMYFUNCTION("""COMPUTED_VALUE"""),1)</f>
        <v>1</v>
      </c>
      <c r="H545" s="196" t="s">
        <v>231</v>
      </c>
      <c r="I545" s="196"/>
      <c r="J545" s="196" t="s">
        <v>29</v>
      </c>
      <c r="K545" s="196"/>
      <c r="L545" s="196" t="str">
        <v xml:space="preserve"> 132.95</v>
      </c>
      <c r="M545" s="196"/>
    </row>
    <row r="546" spans="1:13" ht="14.4" x14ac:dyDescent="0.3">
      <c r="A546" s="189" t="str">
        <f ca="1">IFERROR(__xludf.DUMMYFUNCTION("""COMPUTED_VALUE"""),"F")</f>
        <v>F</v>
      </c>
      <c r="B546" s="195" t="str">
        <f ca="1">IFERROR(__xludf.DUMMYFUNCTION("""COMPUTED_VALUE"""),"Emily Gu")</f>
        <v>Emily Gu</v>
      </c>
      <c r="C546" s="189">
        <f ca="1">IFERROR(__xludf.DUMMYFUNCTION("""COMPUTED_VALUE"""),14)</f>
        <v>14</v>
      </c>
      <c r="D546" s="189" t="str">
        <f ca="1">IFERROR(__xludf.DUMMYFUNCTION("""COMPUTED_VALUE"""),"G")</f>
        <v>G</v>
      </c>
      <c r="E546" s="189" t="str">
        <f ca="1">IFERROR(__xludf.DUMMYFUNCTION("""COMPUTED_VALUE"""),"I")</f>
        <v>I</v>
      </c>
      <c r="F546" s="189" t="str">
        <f ca="1">IFERROR(__xludf.DUMMYFUNCTION("""COMPUTED_VALUE"""),"S")</f>
        <v>S</v>
      </c>
      <c r="G546" s="189">
        <f ca="1">IFERROR(__xludf.DUMMYFUNCTION("""COMPUTED_VALUE"""),1)</f>
        <v>1</v>
      </c>
      <c r="H546" s="196"/>
      <c r="I546" s="196"/>
      <c r="J546" s="196"/>
      <c r="K546" s="196"/>
      <c r="L546" s="196" t="str">
        <v/>
      </c>
      <c r="M546" s="196"/>
    </row>
    <row r="547" spans="1:13" ht="14.4" x14ac:dyDescent="0.3">
      <c r="A547" s="189" t="str">
        <f ca="1">IFERROR(__xludf.DUMMYFUNCTION("""COMPUTED_VALUE"""),"F")</f>
        <v>F</v>
      </c>
      <c r="B547" s="195" t="str">
        <f ca="1">IFERROR(__xludf.DUMMYFUNCTION("""COMPUTED_VALUE"""),"Jackie Colwill")</f>
        <v>Jackie Colwill</v>
      </c>
      <c r="C547" s="189">
        <f ca="1">IFERROR(__xludf.DUMMYFUNCTION("""COMPUTED_VALUE"""),14)</f>
        <v>14</v>
      </c>
      <c r="D547" s="189" t="str">
        <f ca="1">IFERROR(__xludf.DUMMYFUNCTION("""COMPUTED_VALUE"""),"G")</f>
        <v>G</v>
      </c>
      <c r="E547" s="189" t="str">
        <f ca="1">IFERROR(__xludf.DUMMYFUNCTION("""COMPUTED_VALUE"""),"I")</f>
        <v>I</v>
      </c>
      <c r="F547" s="189" t="str">
        <f ca="1">IFERROR(__xludf.DUMMYFUNCTION("""COMPUTED_VALUE"""),"S")</f>
        <v>S</v>
      </c>
      <c r="G547" s="189">
        <f ca="1">IFERROR(__xludf.DUMMYFUNCTION("""COMPUTED_VALUE"""),1)</f>
        <v>1</v>
      </c>
      <c r="H547" s="196"/>
      <c r="I547" s="196"/>
      <c r="J547" s="196"/>
      <c r="K547" s="196"/>
      <c r="L547" s="196" t="str">
        <v/>
      </c>
      <c r="M547" s="196"/>
    </row>
    <row r="548" spans="1:13" ht="14.4" x14ac:dyDescent="0.3">
      <c r="A548" s="189" t="str">
        <f ca="1">IFERROR(__xludf.DUMMYFUNCTION("""COMPUTED_VALUE"""),"F")</f>
        <v>F</v>
      </c>
      <c r="B548" s="195" t="str">
        <f ca="1">IFERROR(__xludf.DUMMYFUNCTION("""COMPUTED_VALUE"""),"Olivia Hangval")</f>
        <v>Olivia Hangval</v>
      </c>
      <c r="C548" s="189">
        <f ca="1">IFERROR(__xludf.DUMMYFUNCTION("""COMPUTED_VALUE"""),13)</f>
        <v>13</v>
      </c>
      <c r="D548" s="189" t="str">
        <f ca="1">IFERROR(__xludf.DUMMYFUNCTION("""COMPUTED_VALUE"""),"G")</f>
        <v>G</v>
      </c>
      <c r="E548" s="189" t="str">
        <f ca="1">IFERROR(__xludf.DUMMYFUNCTION("""COMPUTED_VALUE"""),"I")</f>
        <v>I</v>
      </c>
      <c r="F548" s="189" t="str">
        <f ca="1">IFERROR(__xludf.DUMMYFUNCTION("""COMPUTED_VALUE"""),"S")</f>
        <v>S</v>
      </c>
      <c r="G548" s="189">
        <f ca="1">IFERROR(__xludf.DUMMYFUNCTION("""COMPUTED_VALUE"""),1)</f>
        <v>1</v>
      </c>
      <c r="H548" s="196"/>
      <c r="I548" s="196"/>
      <c r="J548" s="196"/>
      <c r="K548" s="196"/>
      <c r="L548" s="196" t="str">
        <v/>
      </c>
      <c r="M548" s="196"/>
    </row>
    <row r="549" spans="1:13" ht="14.4" x14ac:dyDescent="0.3">
      <c r="A549" s="189" t="str">
        <f ca="1">IFERROR(__xludf.DUMMYFUNCTION("""COMPUTED_VALUE"""),"F")</f>
        <v>F</v>
      </c>
      <c r="B549" s="195" t="str">
        <f ca="1">IFERROR(__xludf.DUMMYFUNCTION("""COMPUTED_VALUE"""),"Eric Fleischer")</f>
        <v>Eric Fleischer</v>
      </c>
      <c r="C549" s="189">
        <f ca="1">IFERROR(__xludf.DUMMYFUNCTION("""COMPUTED_VALUE"""),13)</f>
        <v>13</v>
      </c>
      <c r="D549" s="189" t="str">
        <f ca="1">IFERROR(__xludf.DUMMYFUNCTION("""COMPUTED_VALUE"""),"B")</f>
        <v>B</v>
      </c>
      <c r="E549" s="189" t="str">
        <f ca="1">IFERROR(__xludf.DUMMYFUNCTION("""COMPUTED_VALUE"""),"I")</f>
        <v>I</v>
      </c>
      <c r="F549" s="189" t="str">
        <f ca="1">IFERROR(__xludf.DUMMYFUNCTION("""COMPUTED_VALUE"""),"S")</f>
        <v>S</v>
      </c>
      <c r="G549" s="189">
        <f ca="1">IFERROR(__xludf.DUMMYFUNCTION("""COMPUTED_VALUE"""),1)</f>
        <v>1</v>
      </c>
      <c r="H549" s="196"/>
      <c r="I549" s="196"/>
      <c r="J549" s="196"/>
      <c r="K549" s="196"/>
      <c r="L549" s="196" t="str">
        <v/>
      </c>
      <c r="M549" s="196"/>
    </row>
    <row r="550" spans="1:13" ht="14.4" x14ac:dyDescent="0.3">
      <c r="A550" s="189" t="str">
        <f ca="1">IFERROR(__xludf.DUMMYFUNCTION("""COMPUTED_VALUE"""),"F")</f>
        <v>F</v>
      </c>
      <c r="B550" s="195" t="str">
        <f ca="1">IFERROR(__xludf.DUMMYFUNCTION("""COMPUTED_VALUE"""),"John Zhu")</f>
        <v>John Zhu</v>
      </c>
      <c r="C550" s="189">
        <f ca="1">IFERROR(__xludf.DUMMYFUNCTION("""COMPUTED_VALUE"""),13)</f>
        <v>13</v>
      </c>
      <c r="D550" s="189" t="str">
        <f ca="1">IFERROR(__xludf.DUMMYFUNCTION("""COMPUTED_VALUE"""),"B")</f>
        <v>B</v>
      </c>
      <c r="E550" s="189" t="str">
        <f ca="1">IFERROR(__xludf.DUMMYFUNCTION("""COMPUTED_VALUE"""),"I")</f>
        <v>I</v>
      </c>
      <c r="F550" s="189" t="str">
        <f ca="1">IFERROR(__xludf.DUMMYFUNCTION("""COMPUTED_VALUE"""),"S")</f>
        <v>S</v>
      </c>
      <c r="G550" s="189">
        <f ca="1">IFERROR(__xludf.DUMMYFUNCTION("""COMPUTED_VALUE"""),1)</f>
        <v>1</v>
      </c>
      <c r="H550" s="196" t="s">
        <v>232</v>
      </c>
      <c r="I550" s="196"/>
      <c r="J550" s="196" t="s">
        <v>29</v>
      </c>
      <c r="K550" s="196"/>
      <c r="L550" s="196" t="str">
        <v xml:space="preserve"> 86.85</v>
      </c>
      <c r="M550" s="196"/>
    </row>
    <row r="551" spans="1:13" ht="14.4" x14ac:dyDescent="0.3">
      <c r="A551" s="189" t="str">
        <f ca="1">IFERROR(__xludf.DUMMYFUNCTION("""COMPUTED_VALUE"""),"F")</f>
        <v>F</v>
      </c>
      <c r="B551" s="195" t="str">
        <f ca="1">IFERROR(__xludf.DUMMYFUNCTION("""COMPUTED_VALUE"""),"Noah Laccone")</f>
        <v>Noah Laccone</v>
      </c>
      <c r="C551" s="189">
        <f ca="1">IFERROR(__xludf.DUMMYFUNCTION("""COMPUTED_VALUE"""),14)</f>
        <v>14</v>
      </c>
      <c r="D551" s="189" t="str">
        <f ca="1">IFERROR(__xludf.DUMMYFUNCTION("""COMPUTED_VALUE"""),"B")</f>
        <v>B</v>
      </c>
      <c r="E551" s="189" t="str">
        <f ca="1">IFERROR(__xludf.DUMMYFUNCTION("""COMPUTED_VALUE"""),"I")</f>
        <v>I</v>
      </c>
      <c r="F551" s="189" t="str">
        <f ca="1">IFERROR(__xludf.DUMMYFUNCTION("""COMPUTED_VALUE"""),"S")</f>
        <v>S</v>
      </c>
      <c r="G551" s="189">
        <f ca="1">IFERROR(__xludf.DUMMYFUNCTION("""COMPUTED_VALUE"""),1)</f>
        <v>1</v>
      </c>
      <c r="H551" s="196"/>
      <c r="I551" s="196"/>
      <c r="J551" s="196"/>
      <c r="K551" s="196"/>
      <c r="L551" s="196" t="str">
        <v/>
      </c>
      <c r="M551" s="196"/>
    </row>
    <row r="552" spans="1:13" ht="14.4" x14ac:dyDescent="0.3">
      <c r="A552" s="189" t="str">
        <f ca="1">IFERROR(__xludf.DUMMYFUNCTION("""COMPUTED_VALUE"""),"F")</f>
        <v>F</v>
      </c>
      <c r="B552" s="195" t="str">
        <f ca="1">IFERROR(__xludf.DUMMYFUNCTION("""COMPUTED_VALUE"""),"Victor Kruml")</f>
        <v>Victor Kruml</v>
      </c>
      <c r="C552" s="189">
        <f ca="1">IFERROR(__xludf.DUMMYFUNCTION("""COMPUTED_VALUE"""),13)</f>
        <v>13</v>
      </c>
      <c r="D552" s="189" t="str">
        <f ca="1">IFERROR(__xludf.DUMMYFUNCTION("""COMPUTED_VALUE"""),"B")</f>
        <v>B</v>
      </c>
      <c r="E552" s="189" t="str">
        <f ca="1">IFERROR(__xludf.DUMMYFUNCTION("""COMPUTED_VALUE"""),"I")</f>
        <v>I</v>
      </c>
      <c r="F552" s="189" t="str">
        <f ca="1">IFERROR(__xludf.DUMMYFUNCTION("""COMPUTED_VALUE"""),"S")</f>
        <v>S</v>
      </c>
      <c r="G552" s="189">
        <f ca="1">IFERROR(__xludf.DUMMYFUNCTION("""COMPUTED_VALUE"""),1)</f>
        <v>1</v>
      </c>
      <c r="H552" s="196"/>
      <c r="I552" s="196"/>
      <c r="J552" s="196"/>
      <c r="K552" s="196"/>
      <c r="L552" s="196" t="str">
        <v/>
      </c>
      <c r="M552" s="196"/>
    </row>
    <row r="553" spans="1:13" ht="14.4" x14ac:dyDescent="0.3">
      <c r="A553" s="189" t="str">
        <f ca="1">IFERROR(__xludf.DUMMYFUNCTION("""COMPUTED_VALUE"""),"F")</f>
        <v>F</v>
      </c>
      <c r="B553" s="195" t="str">
        <f ca="1">IFERROR(__xludf.DUMMYFUNCTION("""COMPUTED_VALUE"""),"Abbie Colwill")</f>
        <v>Abbie Colwill</v>
      </c>
      <c r="C553" s="189">
        <f ca="1">IFERROR(__xludf.DUMMYFUNCTION("""COMPUTED_VALUE"""),12)</f>
        <v>12</v>
      </c>
      <c r="D553" s="189" t="str">
        <f ca="1">IFERROR(__xludf.DUMMYFUNCTION("""COMPUTED_VALUE"""),"G")</f>
        <v>G</v>
      </c>
      <c r="E553" s="189" t="str">
        <f ca="1">IFERROR(__xludf.DUMMYFUNCTION("""COMPUTED_VALUE"""),"J")</f>
        <v>J</v>
      </c>
      <c r="F553" s="189" t="str">
        <f ca="1">IFERROR(__xludf.DUMMYFUNCTION("""COMPUTED_VALUE"""),"I")</f>
        <v>I</v>
      </c>
      <c r="G553" s="189">
        <f ca="1">IFERROR(__xludf.DUMMYFUNCTION("""COMPUTED_VALUE"""),1)</f>
        <v>1</v>
      </c>
      <c r="H553" s="196"/>
      <c r="I553" s="196"/>
      <c r="J553" s="196"/>
      <c r="K553" s="196"/>
      <c r="L553" s="196" t="str">
        <v/>
      </c>
      <c r="M553" s="196"/>
    </row>
    <row r="554" spans="1:13" ht="14.4" x14ac:dyDescent="0.3">
      <c r="A554" s="189" t="str">
        <f ca="1">IFERROR(__xludf.DUMMYFUNCTION("""COMPUTED_VALUE"""),"F")</f>
        <v>F</v>
      </c>
      <c r="B554" s="195" t="str">
        <f ca="1">IFERROR(__xludf.DUMMYFUNCTION("""COMPUTED_VALUE"""),"Ashley Alizadeh")</f>
        <v>Ashley Alizadeh</v>
      </c>
      <c r="C554" s="189">
        <f ca="1">IFERROR(__xludf.DUMMYFUNCTION("""COMPUTED_VALUE"""),12)</f>
        <v>12</v>
      </c>
      <c r="D554" s="189" t="str">
        <f ca="1">IFERROR(__xludf.DUMMYFUNCTION("""COMPUTED_VALUE"""),"G")</f>
        <v>G</v>
      </c>
      <c r="E554" s="189" t="str">
        <f ca="1">IFERROR(__xludf.DUMMYFUNCTION("""COMPUTED_VALUE"""),"J")</f>
        <v>J</v>
      </c>
      <c r="F554" s="189" t="str">
        <f ca="1">IFERROR(__xludf.DUMMYFUNCTION("""COMPUTED_VALUE"""),"I")</f>
        <v>I</v>
      </c>
      <c r="G554" s="189">
        <f ca="1">IFERROR(__xludf.DUMMYFUNCTION("""COMPUTED_VALUE"""),1)</f>
        <v>1</v>
      </c>
      <c r="H554" s="196"/>
      <c r="I554" s="196"/>
      <c r="J554" s="196"/>
      <c r="K554" s="196"/>
      <c r="L554" s="196" t="str">
        <v/>
      </c>
      <c r="M554" s="196"/>
    </row>
    <row r="555" spans="1:13" ht="14.4" x14ac:dyDescent="0.3">
      <c r="A555" s="189" t="str">
        <f ca="1">IFERROR(__xludf.DUMMYFUNCTION("""COMPUTED_VALUE"""),"F")</f>
        <v>F</v>
      </c>
      <c r="B555" s="195" t="str">
        <f ca="1">IFERROR(__xludf.DUMMYFUNCTION("""COMPUTED_VALUE"""),"Emma Strano")</f>
        <v>Emma Strano</v>
      </c>
      <c r="C555" s="189">
        <f ca="1">IFERROR(__xludf.DUMMYFUNCTION("""COMPUTED_VALUE"""),11)</f>
        <v>11</v>
      </c>
      <c r="D555" s="189" t="str">
        <f ca="1">IFERROR(__xludf.DUMMYFUNCTION("""COMPUTED_VALUE"""),"G")</f>
        <v>G</v>
      </c>
      <c r="E555" s="189" t="str">
        <f ca="1">IFERROR(__xludf.DUMMYFUNCTION("""COMPUTED_VALUE"""),"J")</f>
        <v>J</v>
      </c>
      <c r="F555" s="189" t="str">
        <f ca="1">IFERROR(__xludf.DUMMYFUNCTION("""COMPUTED_VALUE"""),"I")</f>
        <v>I</v>
      </c>
      <c r="G555" s="189">
        <f ca="1">IFERROR(__xludf.DUMMYFUNCTION("""COMPUTED_VALUE"""),1)</f>
        <v>1</v>
      </c>
      <c r="H555" s="196" t="s">
        <v>233</v>
      </c>
      <c r="I555" s="196"/>
      <c r="J555" s="196" t="s">
        <v>29</v>
      </c>
      <c r="K555" s="196"/>
      <c r="L555" s="196" t="str">
        <v xml:space="preserve"> 80.15</v>
      </c>
      <c r="M555" s="196"/>
    </row>
    <row r="556" spans="1:13" ht="14.4" x14ac:dyDescent="0.3">
      <c r="A556" s="189" t="str">
        <f ca="1">IFERROR(__xludf.DUMMYFUNCTION("""COMPUTED_VALUE"""),"F")</f>
        <v>F</v>
      </c>
      <c r="B556" s="195" t="str">
        <f ca="1">IFERROR(__xludf.DUMMYFUNCTION("""COMPUTED_VALUE"""),"Lily Booher")</f>
        <v>Lily Booher</v>
      </c>
      <c r="C556" s="189">
        <f ca="1">IFERROR(__xludf.DUMMYFUNCTION("""COMPUTED_VALUE"""),11)</f>
        <v>11</v>
      </c>
      <c r="D556" s="189" t="str">
        <f ca="1">IFERROR(__xludf.DUMMYFUNCTION("""COMPUTED_VALUE"""),"G")</f>
        <v>G</v>
      </c>
      <c r="E556" s="189" t="str">
        <f ca="1">IFERROR(__xludf.DUMMYFUNCTION("""COMPUTED_VALUE"""),"J")</f>
        <v>J</v>
      </c>
      <c r="F556" s="189" t="str">
        <f ca="1">IFERROR(__xludf.DUMMYFUNCTION("""COMPUTED_VALUE"""),"I")</f>
        <v>I</v>
      </c>
      <c r="G556" s="189">
        <f ca="1">IFERROR(__xludf.DUMMYFUNCTION("""COMPUTED_VALUE"""),1)</f>
        <v>1</v>
      </c>
      <c r="H556" s="196"/>
      <c r="I556" s="196"/>
      <c r="J556" s="196"/>
      <c r="K556" s="196"/>
      <c r="L556" s="196" t="str">
        <v/>
      </c>
      <c r="M556" s="196"/>
    </row>
    <row r="557" spans="1:13" ht="14.4" x14ac:dyDescent="0.3">
      <c r="A557" s="189" t="str">
        <f ca="1">IFERROR(__xludf.DUMMYFUNCTION("""COMPUTED_VALUE"""),"F")</f>
        <v>F</v>
      </c>
      <c r="B557" s="195" t="str">
        <f ca="1">IFERROR(__xludf.DUMMYFUNCTION("""COMPUTED_VALUE"""),"Lily Carpenter")</f>
        <v>Lily Carpenter</v>
      </c>
      <c r="C557" s="189">
        <f ca="1">IFERROR(__xludf.DUMMYFUNCTION("""COMPUTED_VALUE"""),11)</f>
        <v>11</v>
      </c>
      <c r="D557" s="189" t="str">
        <f ca="1">IFERROR(__xludf.DUMMYFUNCTION("""COMPUTED_VALUE"""),"G")</f>
        <v>G</v>
      </c>
      <c r="E557" s="189" t="str">
        <f ca="1">IFERROR(__xludf.DUMMYFUNCTION("""COMPUTED_VALUE"""),"J")</f>
        <v>J</v>
      </c>
      <c r="F557" s="189" t="str">
        <f ca="1">IFERROR(__xludf.DUMMYFUNCTION("""COMPUTED_VALUE"""),"I")</f>
        <v>I</v>
      </c>
      <c r="G557" s="189">
        <f ca="1">IFERROR(__xludf.DUMMYFUNCTION("""COMPUTED_VALUE"""),1)</f>
        <v>1</v>
      </c>
      <c r="H557" s="196" t="s">
        <v>234</v>
      </c>
      <c r="I557" s="196"/>
      <c r="J557" s="196" t="s">
        <v>29</v>
      </c>
      <c r="K557" s="196"/>
      <c r="L557" s="196" t="str">
        <v xml:space="preserve"> 88.70</v>
      </c>
      <c r="M557" s="196"/>
    </row>
    <row r="558" spans="1:13" ht="14.4" x14ac:dyDescent="0.3">
      <c r="A558" s="189" t="str">
        <f ca="1">IFERROR(__xludf.DUMMYFUNCTION("""COMPUTED_VALUE"""),"F")</f>
        <v>F</v>
      </c>
      <c r="B558" s="195" t="str">
        <f ca="1">IFERROR(__xludf.DUMMYFUNCTION("""COMPUTED_VALUE"""),"Maddie Laccone")</f>
        <v>Maddie Laccone</v>
      </c>
      <c r="C558" s="189">
        <f ca="1">IFERROR(__xludf.DUMMYFUNCTION("""COMPUTED_VALUE"""),12)</f>
        <v>12</v>
      </c>
      <c r="D558" s="189" t="str">
        <f ca="1">IFERROR(__xludf.DUMMYFUNCTION("""COMPUTED_VALUE"""),"G")</f>
        <v>G</v>
      </c>
      <c r="E558" s="189" t="str">
        <f ca="1">IFERROR(__xludf.DUMMYFUNCTION("""COMPUTED_VALUE"""),"J")</f>
        <v>J</v>
      </c>
      <c r="F558" s="189" t="str">
        <f ca="1">IFERROR(__xludf.DUMMYFUNCTION("""COMPUTED_VALUE"""),"I")</f>
        <v>I</v>
      </c>
      <c r="G558" s="189">
        <f ca="1">IFERROR(__xludf.DUMMYFUNCTION("""COMPUTED_VALUE"""),1)</f>
        <v>1</v>
      </c>
      <c r="H558" s="196"/>
      <c r="I558" s="196"/>
      <c r="J558" s="196"/>
      <c r="K558" s="196"/>
      <c r="L558" s="196" t="str">
        <v/>
      </c>
      <c r="M558" s="196"/>
    </row>
    <row r="559" spans="1:13" ht="14.4" x14ac:dyDescent="0.3">
      <c r="A559" s="189" t="str">
        <f ca="1">IFERROR(__xludf.DUMMYFUNCTION("""COMPUTED_VALUE"""),"F")</f>
        <v>F</v>
      </c>
      <c r="B559" s="195" t="str">
        <f ca="1">IFERROR(__xludf.DUMMYFUNCTION("""COMPUTED_VALUE"""),"Makayla Barnes")</f>
        <v>Makayla Barnes</v>
      </c>
      <c r="C559" s="189">
        <f ca="1">IFERROR(__xludf.DUMMYFUNCTION("""COMPUTED_VALUE"""),11)</f>
        <v>11</v>
      </c>
      <c r="D559" s="189" t="str">
        <f ca="1">IFERROR(__xludf.DUMMYFUNCTION("""COMPUTED_VALUE"""),"G")</f>
        <v>G</v>
      </c>
      <c r="E559" s="189" t="str">
        <f ca="1">IFERROR(__xludf.DUMMYFUNCTION("""COMPUTED_VALUE"""),"J")</f>
        <v>J</v>
      </c>
      <c r="F559" s="189" t="str">
        <f ca="1">IFERROR(__xludf.DUMMYFUNCTION("""COMPUTED_VALUE"""),"I")</f>
        <v>I</v>
      </c>
      <c r="G559" s="189">
        <f ca="1">IFERROR(__xludf.DUMMYFUNCTION("""COMPUTED_VALUE"""),1)</f>
        <v>1</v>
      </c>
      <c r="H559" s="196" t="s">
        <v>235</v>
      </c>
      <c r="I559" s="196"/>
      <c r="J559" s="196" t="s">
        <v>29</v>
      </c>
      <c r="K559" s="196"/>
      <c r="L559" s="196" t="str">
        <v xml:space="preserve"> 87.70</v>
      </c>
      <c r="M559" s="196"/>
    </row>
    <row r="560" spans="1:13" ht="14.4" x14ac:dyDescent="0.3">
      <c r="A560" s="189" t="str">
        <f ca="1">IFERROR(__xludf.DUMMYFUNCTION("""COMPUTED_VALUE"""),"F")</f>
        <v>F</v>
      </c>
      <c r="B560" s="195" t="str">
        <f ca="1">IFERROR(__xludf.DUMMYFUNCTION("""COMPUTED_VALUE"""),"Serra Yildiz")</f>
        <v>Serra Yildiz</v>
      </c>
      <c r="C560" s="189">
        <f ca="1">IFERROR(__xludf.DUMMYFUNCTION("""COMPUTED_VALUE"""),11)</f>
        <v>11</v>
      </c>
      <c r="D560" s="189" t="str">
        <f ca="1">IFERROR(__xludf.DUMMYFUNCTION("""COMPUTED_VALUE"""),"G")</f>
        <v>G</v>
      </c>
      <c r="E560" s="189" t="str">
        <f ca="1">IFERROR(__xludf.DUMMYFUNCTION("""COMPUTED_VALUE"""),"J")</f>
        <v>J</v>
      </c>
      <c r="F560" s="189" t="str">
        <f ca="1">IFERROR(__xludf.DUMMYFUNCTION("""COMPUTED_VALUE"""),"I")</f>
        <v>I</v>
      </c>
      <c r="G560" s="189">
        <f ca="1">IFERROR(__xludf.DUMMYFUNCTION("""COMPUTED_VALUE"""),1)</f>
        <v>1</v>
      </c>
      <c r="H560" s="196"/>
      <c r="I560" s="196"/>
      <c r="J560" s="196"/>
      <c r="K560" s="196"/>
      <c r="L560" s="196" t="str">
        <v/>
      </c>
      <c r="M560" s="196"/>
    </row>
    <row r="561" spans="1:13" ht="14.4" x14ac:dyDescent="0.3">
      <c r="A561" s="189" t="str">
        <f ca="1">IFERROR(__xludf.DUMMYFUNCTION("""COMPUTED_VALUE"""),"F")</f>
        <v>F</v>
      </c>
      <c r="B561" s="195" t="str">
        <f ca="1">IFERROR(__xludf.DUMMYFUNCTION("""COMPUTED_VALUE"""),"Thatchelle Boateng")</f>
        <v>Thatchelle Boateng</v>
      </c>
      <c r="C561" s="189">
        <f ca="1">IFERROR(__xludf.DUMMYFUNCTION("""COMPUTED_VALUE"""),11)</f>
        <v>11</v>
      </c>
      <c r="D561" s="189" t="str">
        <f ca="1">IFERROR(__xludf.DUMMYFUNCTION("""COMPUTED_VALUE"""),"G")</f>
        <v>G</v>
      </c>
      <c r="E561" s="189" t="str">
        <f ca="1">IFERROR(__xludf.DUMMYFUNCTION("""COMPUTED_VALUE"""),"J")</f>
        <v>J</v>
      </c>
      <c r="F561" s="189" t="str">
        <f ca="1">IFERROR(__xludf.DUMMYFUNCTION("""COMPUTED_VALUE"""),"I")</f>
        <v>I</v>
      </c>
      <c r="G561" s="189">
        <f ca="1">IFERROR(__xludf.DUMMYFUNCTION("""COMPUTED_VALUE"""),1)</f>
        <v>1</v>
      </c>
      <c r="H561" s="196"/>
      <c r="I561" s="196"/>
      <c r="J561" s="196"/>
      <c r="K561" s="196"/>
      <c r="L561" s="196" t="str">
        <v/>
      </c>
      <c r="M561" s="196"/>
    </row>
    <row r="562" spans="1:13" ht="14.4" x14ac:dyDescent="0.3">
      <c r="A562" s="189" t="str">
        <f ca="1">IFERROR(__xludf.DUMMYFUNCTION("""COMPUTED_VALUE"""),"F")</f>
        <v>F</v>
      </c>
      <c r="B562" s="195" t="str">
        <f ca="1">IFERROR(__xludf.DUMMYFUNCTION("""COMPUTED_VALUE"""),"Vivian Rumrill")</f>
        <v>Vivian Rumrill</v>
      </c>
      <c r="C562" s="189">
        <f ca="1">IFERROR(__xludf.DUMMYFUNCTION("""COMPUTED_VALUE"""),12)</f>
        <v>12</v>
      </c>
      <c r="D562" s="189" t="str">
        <f ca="1">IFERROR(__xludf.DUMMYFUNCTION("""COMPUTED_VALUE"""),"G")</f>
        <v>G</v>
      </c>
      <c r="E562" s="189" t="str">
        <f ca="1">IFERROR(__xludf.DUMMYFUNCTION("""COMPUTED_VALUE"""),"J")</f>
        <v>J</v>
      </c>
      <c r="F562" s="189" t="str">
        <f ca="1">IFERROR(__xludf.DUMMYFUNCTION("""COMPUTED_VALUE"""),"I")</f>
        <v>I</v>
      </c>
      <c r="G562" s="189">
        <f ca="1">IFERROR(__xludf.DUMMYFUNCTION("""COMPUTED_VALUE"""),1)</f>
        <v>1</v>
      </c>
      <c r="H562" s="196"/>
      <c r="I562" s="196"/>
      <c r="J562" s="196"/>
      <c r="K562" s="196"/>
      <c r="L562" s="196" t="str">
        <v/>
      </c>
      <c r="M562" s="196"/>
    </row>
    <row r="563" spans="1:13" ht="14.4" x14ac:dyDescent="0.3">
      <c r="A563" s="189" t="str">
        <f ca="1">IFERROR(__xludf.DUMMYFUNCTION("""COMPUTED_VALUE"""),"F")</f>
        <v>F</v>
      </c>
      <c r="B563" s="195" t="str">
        <f ca="1">IFERROR(__xludf.DUMMYFUNCTION("""COMPUTED_VALUE"""),"Brandon HO")</f>
        <v>Brandon HO</v>
      </c>
      <c r="C563" s="189">
        <f ca="1">IFERROR(__xludf.DUMMYFUNCTION("""COMPUTED_VALUE"""),11)</f>
        <v>11</v>
      </c>
      <c r="D563" s="189" t="str">
        <f ca="1">IFERROR(__xludf.DUMMYFUNCTION("""COMPUTED_VALUE"""),"B")</f>
        <v>B</v>
      </c>
      <c r="E563" s="189" t="str">
        <f ca="1">IFERROR(__xludf.DUMMYFUNCTION("""COMPUTED_VALUE"""),"J")</f>
        <v>J</v>
      </c>
      <c r="F563" s="189" t="str">
        <f ca="1">IFERROR(__xludf.DUMMYFUNCTION("""COMPUTED_VALUE"""),"I")</f>
        <v>I</v>
      </c>
      <c r="G563" s="189">
        <f ca="1">IFERROR(__xludf.DUMMYFUNCTION("""COMPUTED_VALUE"""),1)</f>
        <v>1</v>
      </c>
      <c r="H563" s="196"/>
      <c r="I563" s="196"/>
      <c r="J563" s="196"/>
      <c r="K563" s="196"/>
      <c r="L563" s="196" t="str">
        <v/>
      </c>
      <c r="M563" s="196"/>
    </row>
    <row r="564" spans="1:13" ht="14.4" x14ac:dyDescent="0.3">
      <c r="A564" s="189" t="str">
        <f ca="1">IFERROR(__xludf.DUMMYFUNCTION("""COMPUTED_VALUE"""),"F")</f>
        <v>F</v>
      </c>
      <c r="B564" s="195" t="str">
        <f ca="1">IFERROR(__xludf.DUMMYFUNCTION("""COMPUTED_VALUE"""),"Caiden Stark")</f>
        <v>Caiden Stark</v>
      </c>
      <c r="C564" s="189">
        <f ca="1">IFERROR(__xludf.DUMMYFUNCTION("""COMPUTED_VALUE"""),12)</f>
        <v>12</v>
      </c>
      <c r="D564" s="189" t="str">
        <f ca="1">IFERROR(__xludf.DUMMYFUNCTION("""COMPUTED_VALUE"""),"B")</f>
        <v>B</v>
      </c>
      <c r="E564" s="189" t="str">
        <f ca="1">IFERROR(__xludf.DUMMYFUNCTION("""COMPUTED_VALUE"""),"J")</f>
        <v>J</v>
      </c>
      <c r="F564" s="189" t="str">
        <f ca="1">IFERROR(__xludf.DUMMYFUNCTION("""COMPUTED_VALUE"""),"I")</f>
        <v>I</v>
      </c>
      <c r="G564" s="189">
        <f ca="1">IFERROR(__xludf.DUMMYFUNCTION("""COMPUTED_VALUE"""),1)</f>
        <v>1</v>
      </c>
      <c r="H564" s="196"/>
      <c r="I564" s="196"/>
      <c r="J564" s="196"/>
      <c r="K564" s="196"/>
      <c r="L564" s="196" t="str">
        <v/>
      </c>
      <c r="M564" s="196"/>
    </row>
    <row r="565" spans="1:13" ht="14.4" x14ac:dyDescent="0.3">
      <c r="A565" s="189" t="str">
        <f ca="1">IFERROR(__xludf.DUMMYFUNCTION("""COMPUTED_VALUE"""),"F")</f>
        <v>F</v>
      </c>
      <c r="B565" s="195" t="str">
        <f ca="1">IFERROR(__xludf.DUMMYFUNCTION("""COMPUTED_VALUE"""),"Christopher Barron")</f>
        <v>Christopher Barron</v>
      </c>
      <c r="C565" s="189">
        <f ca="1">IFERROR(__xludf.DUMMYFUNCTION("""COMPUTED_VALUE"""),12)</f>
        <v>12</v>
      </c>
      <c r="D565" s="189" t="str">
        <f ca="1">IFERROR(__xludf.DUMMYFUNCTION("""COMPUTED_VALUE"""),"B")</f>
        <v>B</v>
      </c>
      <c r="E565" s="189" t="str">
        <f ca="1">IFERROR(__xludf.DUMMYFUNCTION("""COMPUTED_VALUE"""),"J")</f>
        <v>J</v>
      </c>
      <c r="F565" s="189" t="str">
        <f ca="1">IFERROR(__xludf.DUMMYFUNCTION("""COMPUTED_VALUE"""),"I")</f>
        <v>I</v>
      </c>
      <c r="G565" s="189">
        <f ca="1">IFERROR(__xludf.DUMMYFUNCTION("""COMPUTED_VALUE"""),1)</f>
        <v>1</v>
      </c>
      <c r="H565" s="196" t="s">
        <v>236</v>
      </c>
      <c r="I565" s="196"/>
      <c r="J565" s="196" t="s">
        <v>29</v>
      </c>
      <c r="K565" s="196"/>
      <c r="L565" s="196" t="str">
        <v xml:space="preserve"> 92.60</v>
      </c>
      <c r="M565" s="196"/>
    </row>
    <row r="566" spans="1:13" ht="14.4" x14ac:dyDescent="0.3">
      <c r="A566" s="189" t="str">
        <f ca="1">IFERROR(__xludf.DUMMYFUNCTION("""COMPUTED_VALUE"""),"F")</f>
        <v>F</v>
      </c>
      <c r="B566" s="195" t="str">
        <f ca="1">IFERROR(__xludf.DUMMYFUNCTION("""COMPUTED_VALUE"""),"Elias Flores")</f>
        <v>Elias Flores</v>
      </c>
      <c r="C566" s="189">
        <f ca="1">IFERROR(__xludf.DUMMYFUNCTION("""COMPUTED_VALUE"""),11)</f>
        <v>11</v>
      </c>
      <c r="D566" s="189" t="str">
        <f ca="1">IFERROR(__xludf.DUMMYFUNCTION("""COMPUTED_VALUE"""),"B")</f>
        <v>B</v>
      </c>
      <c r="E566" s="189" t="str">
        <f ca="1">IFERROR(__xludf.DUMMYFUNCTION("""COMPUTED_VALUE"""),"J")</f>
        <v>J</v>
      </c>
      <c r="F566" s="189" t="str">
        <f ca="1">IFERROR(__xludf.DUMMYFUNCTION("""COMPUTED_VALUE"""),"I")</f>
        <v>I</v>
      </c>
      <c r="G566" s="189">
        <f ca="1">IFERROR(__xludf.DUMMYFUNCTION("""COMPUTED_VALUE"""),1)</f>
        <v>1</v>
      </c>
      <c r="H566" s="196"/>
      <c r="I566" s="196"/>
      <c r="J566" s="196"/>
      <c r="K566" s="196"/>
      <c r="L566" s="196" t="str">
        <v/>
      </c>
      <c r="M566" s="196"/>
    </row>
    <row r="567" spans="1:13" ht="14.4" x14ac:dyDescent="0.3">
      <c r="A567" s="189" t="str">
        <f ca="1">IFERROR(__xludf.DUMMYFUNCTION("""COMPUTED_VALUE"""),"F")</f>
        <v>F</v>
      </c>
      <c r="B567" s="195" t="str">
        <f ca="1">IFERROR(__xludf.DUMMYFUNCTION("""COMPUTED_VALUE"""),"Joseph Smith")</f>
        <v>Joseph Smith</v>
      </c>
      <c r="C567" s="189">
        <f ca="1">IFERROR(__xludf.DUMMYFUNCTION("""COMPUTED_VALUE"""),11)</f>
        <v>11</v>
      </c>
      <c r="D567" s="189" t="str">
        <f ca="1">IFERROR(__xludf.DUMMYFUNCTION("""COMPUTED_VALUE"""),"B")</f>
        <v>B</v>
      </c>
      <c r="E567" s="189" t="str">
        <f ca="1">IFERROR(__xludf.DUMMYFUNCTION("""COMPUTED_VALUE"""),"J")</f>
        <v>J</v>
      </c>
      <c r="F567" s="189" t="str">
        <f ca="1">IFERROR(__xludf.DUMMYFUNCTION("""COMPUTED_VALUE"""),"I")</f>
        <v>I</v>
      </c>
      <c r="G567" s="189">
        <f ca="1">IFERROR(__xludf.DUMMYFUNCTION("""COMPUTED_VALUE"""),1)</f>
        <v>1</v>
      </c>
      <c r="H567" s="196"/>
      <c r="I567" s="196"/>
      <c r="J567" s="196"/>
      <c r="K567" s="196"/>
      <c r="L567" s="196" t="str">
        <v/>
      </c>
      <c r="M567" s="196"/>
    </row>
    <row r="568" spans="1:13" ht="14.4" x14ac:dyDescent="0.3">
      <c r="A568" s="189" t="str">
        <f ca="1">IFERROR(__xludf.DUMMYFUNCTION("""COMPUTED_VALUE"""),"F")</f>
        <v>F</v>
      </c>
      <c r="B568" s="195" t="str">
        <f ca="1">IFERROR(__xludf.DUMMYFUNCTION("""COMPUTED_VALUE"""),"Miles Hacker")</f>
        <v>Miles Hacker</v>
      </c>
      <c r="C568" s="189">
        <f ca="1">IFERROR(__xludf.DUMMYFUNCTION("""COMPUTED_VALUE"""),11)</f>
        <v>11</v>
      </c>
      <c r="D568" s="189" t="str">
        <f ca="1">IFERROR(__xludf.DUMMYFUNCTION("""COMPUTED_VALUE"""),"B")</f>
        <v>B</v>
      </c>
      <c r="E568" s="189" t="str">
        <f ca="1">IFERROR(__xludf.DUMMYFUNCTION("""COMPUTED_VALUE"""),"J")</f>
        <v>J</v>
      </c>
      <c r="F568" s="189" t="str">
        <f ca="1">IFERROR(__xludf.DUMMYFUNCTION("""COMPUTED_VALUE"""),"I")</f>
        <v>I</v>
      </c>
      <c r="G568" s="189">
        <f ca="1">IFERROR(__xludf.DUMMYFUNCTION("""COMPUTED_VALUE"""),1)</f>
        <v>1</v>
      </c>
      <c r="H568" s="196" t="s">
        <v>237</v>
      </c>
      <c r="I568" s="196"/>
      <c r="J568" s="196" t="s">
        <v>29</v>
      </c>
      <c r="K568" s="196"/>
      <c r="L568" s="196" t="str">
        <v xml:space="preserve"> 73.20</v>
      </c>
      <c r="M568" s="196"/>
    </row>
    <row r="569" spans="1:13" ht="14.4" x14ac:dyDescent="0.3">
      <c r="A569" s="189" t="str">
        <f ca="1">IFERROR(__xludf.DUMMYFUNCTION("""COMPUTED_VALUE"""),"F")</f>
        <v>F</v>
      </c>
      <c r="B569" s="195" t="str">
        <f ca="1">IFERROR(__xludf.DUMMYFUNCTION("""COMPUTED_VALUE"""),"Patrick Smith")</f>
        <v>Patrick Smith</v>
      </c>
      <c r="C569" s="189">
        <f ca="1">IFERROR(__xludf.DUMMYFUNCTION("""COMPUTED_VALUE"""),11)</f>
        <v>11</v>
      </c>
      <c r="D569" s="189" t="str">
        <f ca="1">IFERROR(__xludf.DUMMYFUNCTION("""COMPUTED_VALUE"""),"B")</f>
        <v>B</v>
      </c>
      <c r="E569" s="189" t="str">
        <f ca="1">IFERROR(__xludf.DUMMYFUNCTION("""COMPUTED_VALUE"""),"J")</f>
        <v>J</v>
      </c>
      <c r="F569" s="189" t="str">
        <f ca="1">IFERROR(__xludf.DUMMYFUNCTION("""COMPUTED_VALUE"""),"I")</f>
        <v>I</v>
      </c>
      <c r="G569" s="189">
        <f ca="1">IFERROR(__xludf.DUMMYFUNCTION("""COMPUTED_VALUE"""),1)</f>
        <v>1</v>
      </c>
      <c r="H569" s="196"/>
      <c r="I569" s="196"/>
      <c r="J569" s="196"/>
      <c r="K569" s="196"/>
      <c r="L569" s="196" t="str">
        <v/>
      </c>
      <c r="M569" s="196"/>
    </row>
    <row r="570" spans="1:13" ht="14.4" x14ac:dyDescent="0.3">
      <c r="A570" s="189" t="str">
        <f ca="1">IFERROR(__xludf.DUMMYFUNCTION("""COMPUTED_VALUE"""),"F")</f>
        <v>F</v>
      </c>
      <c r="B570" s="195" t="str">
        <f ca="1">IFERROR(__xludf.DUMMYFUNCTION("""COMPUTED_VALUE"""),"Peyton Farahi")</f>
        <v>Peyton Farahi</v>
      </c>
      <c r="C570" s="189">
        <f ca="1">IFERROR(__xludf.DUMMYFUNCTION("""COMPUTED_VALUE"""),12)</f>
        <v>12</v>
      </c>
      <c r="D570" s="189" t="str">
        <f ca="1">IFERROR(__xludf.DUMMYFUNCTION("""COMPUTED_VALUE"""),"B")</f>
        <v>B</v>
      </c>
      <c r="E570" s="189" t="str">
        <f ca="1">IFERROR(__xludf.DUMMYFUNCTION("""COMPUTED_VALUE"""),"J")</f>
        <v>J</v>
      </c>
      <c r="F570" s="189" t="str">
        <f ca="1">IFERROR(__xludf.DUMMYFUNCTION("""COMPUTED_VALUE"""),"I")</f>
        <v>I</v>
      </c>
      <c r="G570" s="189">
        <f ca="1">IFERROR(__xludf.DUMMYFUNCTION("""COMPUTED_VALUE"""),1)</f>
        <v>1</v>
      </c>
      <c r="H570" s="196" t="s">
        <v>238</v>
      </c>
      <c r="I570" s="196"/>
      <c r="J570" s="196" t="s">
        <v>29</v>
      </c>
      <c r="K570" s="196"/>
      <c r="L570" s="196" t="str">
        <v xml:space="preserve"> 100.40</v>
      </c>
      <c r="M570" s="196"/>
    </row>
    <row r="571" spans="1:13" ht="14.4" x14ac:dyDescent="0.3">
      <c r="A571" s="189" t="str">
        <f ca="1">IFERROR(__xludf.DUMMYFUNCTION("""COMPUTED_VALUE"""),"F")</f>
        <v>F</v>
      </c>
      <c r="B571" s="195" t="str">
        <f ca="1">IFERROR(__xludf.DUMMYFUNCTION("""COMPUTED_VALUE"""),"Trey McIntosh")</f>
        <v>Trey McIntosh</v>
      </c>
      <c r="C571" s="189">
        <f ca="1">IFERROR(__xludf.DUMMYFUNCTION("""COMPUTED_VALUE"""),11)</f>
        <v>11</v>
      </c>
      <c r="D571" s="189" t="str">
        <f ca="1">IFERROR(__xludf.DUMMYFUNCTION("""COMPUTED_VALUE"""),"B")</f>
        <v>B</v>
      </c>
      <c r="E571" s="189" t="str">
        <f ca="1">IFERROR(__xludf.DUMMYFUNCTION("""COMPUTED_VALUE"""),"J")</f>
        <v>J</v>
      </c>
      <c r="F571" s="189" t="str">
        <f ca="1">IFERROR(__xludf.DUMMYFUNCTION("""COMPUTED_VALUE"""),"I")</f>
        <v>I</v>
      </c>
      <c r="G571" s="189">
        <f ca="1">IFERROR(__xludf.DUMMYFUNCTION("""COMPUTED_VALUE"""),1)</f>
        <v>1</v>
      </c>
      <c r="H571" s="196" t="s">
        <v>239</v>
      </c>
      <c r="I571" s="196"/>
      <c r="J571" s="196" t="s">
        <v>29</v>
      </c>
      <c r="K571" s="196"/>
      <c r="L571" s="196" t="str">
        <v xml:space="preserve"> 122.15</v>
      </c>
      <c r="M571" s="196"/>
    </row>
    <row r="572" spans="1:13" ht="14.4" x14ac:dyDescent="0.3">
      <c r="A572" s="189" t="str">
        <f ca="1">IFERROR(__xludf.DUMMYFUNCTION("""COMPUTED_VALUE"""),"F")</f>
        <v>F</v>
      </c>
      <c r="B572" s="195" t="str">
        <f ca="1">IFERROR(__xludf.DUMMYFUNCTION("""COMPUTED_VALUE"""),"Greer Dempster")</f>
        <v>Greer Dempster</v>
      </c>
      <c r="C572" s="189">
        <f ca="1">IFERROR(__xludf.DUMMYFUNCTION("""COMPUTED_VALUE"""),18)</f>
        <v>18</v>
      </c>
      <c r="D572" s="189" t="str">
        <f ca="1">IFERROR(__xludf.DUMMYFUNCTION("""COMPUTED_VALUE"""),"G")</f>
        <v>G</v>
      </c>
      <c r="E572" s="189" t="str">
        <f ca="1">IFERROR(__xludf.DUMMYFUNCTION("""COMPUTED_VALUE"""),"S")</f>
        <v>S</v>
      </c>
      <c r="F572" s="189" t="str">
        <f ca="1">IFERROR(__xludf.DUMMYFUNCTION("""COMPUTED_VALUE"""),"S")</f>
        <v>S</v>
      </c>
      <c r="G572" s="189">
        <f ca="1">IFERROR(__xludf.DUMMYFUNCTION("""COMPUTED_VALUE"""),1)</f>
        <v>1</v>
      </c>
      <c r="H572" s="196"/>
      <c r="I572" s="196"/>
      <c r="J572" s="196"/>
      <c r="K572" s="196"/>
      <c r="L572" s="196" t="str">
        <v/>
      </c>
      <c r="M572" s="196"/>
    </row>
    <row r="573" spans="1:13" ht="14.4" x14ac:dyDescent="0.3">
      <c r="A573" s="189" t="str">
        <f ca="1">IFERROR(__xludf.DUMMYFUNCTION("""COMPUTED_VALUE"""),"F")</f>
        <v>F</v>
      </c>
      <c r="B573" s="195" t="str">
        <f ca="1">IFERROR(__xludf.DUMMYFUNCTION("""COMPUTED_VALUE"""),"Helena Perosa")</f>
        <v>Helena Perosa</v>
      </c>
      <c r="C573" s="189">
        <f ca="1">IFERROR(__xludf.DUMMYFUNCTION("""COMPUTED_VALUE"""),15)</f>
        <v>15</v>
      </c>
      <c r="D573" s="189" t="str">
        <f ca="1">IFERROR(__xludf.DUMMYFUNCTION("""COMPUTED_VALUE"""),"G")</f>
        <v>G</v>
      </c>
      <c r="E573" s="189" t="str">
        <f ca="1">IFERROR(__xludf.DUMMYFUNCTION("""COMPUTED_VALUE"""),"S")</f>
        <v>S</v>
      </c>
      <c r="F573" s="189" t="str">
        <f ca="1">IFERROR(__xludf.DUMMYFUNCTION("""COMPUTED_VALUE"""),"S")</f>
        <v>S</v>
      </c>
      <c r="G573" s="189">
        <f ca="1">IFERROR(__xludf.DUMMYFUNCTION("""COMPUTED_VALUE"""),1)</f>
        <v>1</v>
      </c>
      <c r="H573" s="196"/>
      <c r="I573" s="196"/>
      <c r="J573" s="196"/>
      <c r="K573" s="196"/>
      <c r="L573" s="196" t="str">
        <v/>
      </c>
      <c r="M573" s="196"/>
    </row>
    <row r="574" spans="1:13" ht="14.4" x14ac:dyDescent="0.3">
      <c r="A574" s="189" t="str">
        <f ca="1">IFERROR(__xludf.DUMMYFUNCTION("""COMPUTED_VALUE"""),"F")</f>
        <v>F</v>
      </c>
      <c r="B574" s="195" t="str">
        <f ca="1">IFERROR(__xludf.DUMMYFUNCTION("""COMPUTED_VALUE"""),"Jennifer Schneider")</f>
        <v>Jennifer Schneider</v>
      </c>
      <c r="C574" s="189">
        <f ca="1">IFERROR(__xludf.DUMMYFUNCTION("""COMPUTED_VALUE"""),17)</f>
        <v>17</v>
      </c>
      <c r="D574" s="189" t="str">
        <f ca="1">IFERROR(__xludf.DUMMYFUNCTION("""COMPUTED_VALUE"""),"G")</f>
        <v>G</v>
      </c>
      <c r="E574" s="189" t="str">
        <f ca="1">IFERROR(__xludf.DUMMYFUNCTION("""COMPUTED_VALUE"""),"S")</f>
        <v>S</v>
      </c>
      <c r="F574" s="189" t="str">
        <f ca="1">IFERROR(__xludf.DUMMYFUNCTION("""COMPUTED_VALUE"""),"S")</f>
        <v>S</v>
      </c>
      <c r="G574" s="189">
        <f ca="1">IFERROR(__xludf.DUMMYFUNCTION("""COMPUTED_VALUE"""),1)</f>
        <v>1</v>
      </c>
      <c r="H574" s="196"/>
      <c r="I574" s="196"/>
      <c r="J574" s="196"/>
      <c r="K574" s="196"/>
      <c r="L574" s="196" t="str">
        <v/>
      </c>
      <c r="M574" s="196"/>
    </row>
    <row r="575" spans="1:13" ht="14.4" x14ac:dyDescent="0.3">
      <c r="A575" s="189" t="str">
        <f ca="1">IFERROR(__xludf.DUMMYFUNCTION("""COMPUTED_VALUE"""),"F")</f>
        <v>F</v>
      </c>
      <c r="B575" s="195" t="str">
        <f ca="1">IFERROR(__xludf.DUMMYFUNCTION("""COMPUTED_VALUE"""),"Lexi Haynie")</f>
        <v>Lexi Haynie</v>
      </c>
      <c r="C575" s="189">
        <f ca="1">IFERROR(__xludf.DUMMYFUNCTION("""COMPUTED_VALUE"""),17)</f>
        <v>17</v>
      </c>
      <c r="D575" s="189" t="str">
        <f ca="1">IFERROR(__xludf.DUMMYFUNCTION("""COMPUTED_VALUE"""),"G")</f>
        <v>G</v>
      </c>
      <c r="E575" s="189" t="str">
        <f ca="1">IFERROR(__xludf.DUMMYFUNCTION("""COMPUTED_VALUE"""),"S")</f>
        <v>S</v>
      </c>
      <c r="F575" s="189" t="str">
        <f ca="1">IFERROR(__xludf.DUMMYFUNCTION("""COMPUTED_VALUE"""),"S")</f>
        <v>S</v>
      </c>
      <c r="G575" s="189">
        <f ca="1">IFERROR(__xludf.DUMMYFUNCTION("""COMPUTED_VALUE"""),1)</f>
        <v>1</v>
      </c>
      <c r="H575" s="196"/>
      <c r="I575" s="196"/>
      <c r="J575" s="196"/>
      <c r="K575" s="196"/>
      <c r="L575" s="196" t="str">
        <v/>
      </c>
      <c r="M575" s="196"/>
    </row>
    <row r="576" spans="1:13" ht="14.4" x14ac:dyDescent="0.3">
      <c r="A576" s="189" t="str">
        <f ca="1">IFERROR(__xludf.DUMMYFUNCTION("""COMPUTED_VALUE"""),"F")</f>
        <v>F</v>
      </c>
      <c r="B576" s="195" t="str">
        <f ca="1">IFERROR(__xludf.DUMMYFUNCTION("""COMPUTED_VALUE"""),"Lyla Devlin")</f>
        <v>Lyla Devlin</v>
      </c>
      <c r="C576" s="189">
        <f ca="1">IFERROR(__xludf.DUMMYFUNCTION("""COMPUTED_VALUE"""),15)</f>
        <v>15</v>
      </c>
      <c r="D576" s="189" t="str">
        <f ca="1">IFERROR(__xludf.DUMMYFUNCTION("""COMPUTED_VALUE"""),"G")</f>
        <v>G</v>
      </c>
      <c r="E576" s="189" t="str">
        <f ca="1">IFERROR(__xludf.DUMMYFUNCTION("""COMPUTED_VALUE"""),"S")</f>
        <v>S</v>
      </c>
      <c r="F576" s="189" t="str">
        <f ca="1">IFERROR(__xludf.DUMMYFUNCTION("""COMPUTED_VALUE"""),"S")</f>
        <v>S</v>
      </c>
      <c r="G576" s="189">
        <f ca="1">IFERROR(__xludf.DUMMYFUNCTION("""COMPUTED_VALUE"""),1)</f>
        <v>1</v>
      </c>
      <c r="H576" s="196" t="s">
        <v>240</v>
      </c>
      <c r="I576" s="196"/>
      <c r="J576" s="196" t="s">
        <v>29</v>
      </c>
      <c r="K576" s="196"/>
      <c r="L576" s="196" t="str">
        <v xml:space="preserve"> 151.85</v>
      </c>
      <c r="M576" s="196"/>
    </row>
    <row r="577" spans="1:13" ht="14.4" x14ac:dyDescent="0.3">
      <c r="A577" s="189" t="str">
        <f ca="1">IFERROR(__xludf.DUMMYFUNCTION("""COMPUTED_VALUE"""),"F")</f>
        <v>F</v>
      </c>
      <c r="B577" s="195" t="str">
        <f ca="1">IFERROR(__xludf.DUMMYFUNCTION("""COMPUTED_VALUE"""),"Madeleine Devlin")</f>
        <v>Madeleine Devlin</v>
      </c>
      <c r="C577" s="189">
        <f ca="1">IFERROR(__xludf.DUMMYFUNCTION("""COMPUTED_VALUE"""),17)</f>
        <v>17</v>
      </c>
      <c r="D577" s="189" t="str">
        <f ca="1">IFERROR(__xludf.DUMMYFUNCTION("""COMPUTED_VALUE"""),"G")</f>
        <v>G</v>
      </c>
      <c r="E577" s="189" t="str">
        <f ca="1">IFERROR(__xludf.DUMMYFUNCTION("""COMPUTED_VALUE"""),"S")</f>
        <v>S</v>
      </c>
      <c r="F577" s="189" t="str">
        <f ca="1">IFERROR(__xludf.DUMMYFUNCTION("""COMPUTED_VALUE"""),"S")</f>
        <v>S</v>
      </c>
      <c r="G577" s="189">
        <f ca="1">IFERROR(__xludf.DUMMYFUNCTION("""COMPUTED_VALUE"""),1)</f>
        <v>1</v>
      </c>
      <c r="H577" s="196" t="s">
        <v>241</v>
      </c>
      <c r="I577" s="196"/>
      <c r="J577" s="196" t="s">
        <v>29</v>
      </c>
      <c r="K577" s="196"/>
      <c r="L577" s="196" t="str">
        <v xml:space="preserve"> 135.65</v>
      </c>
      <c r="M577" s="196"/>
    </row>
    <row r="578" spans="1:13" ht="14.4" x14ac:dyDescent="0.3">
      <c r="A578" s="189" t="str">
        <f ca="1">IFERROR(__xludf.DUMMYFUNCTION("""COMPUTED_VALUE"""),"F")</f>
        <v>F</v>
      </c>
      <c r="B578" s="195" t="str">
        <f ca="1">IFERROR(__xludf.DUMMYFUNCTION("""COMPUTED_VALUE"""),"Olivia Roca")</f>
        <v>Olivia Roca</v>
      </c>
      <c r="C578" s="189">
        <f ca="1">IFERROR(__xludf.DUMMYFUNCTION("""COMPUTED_VALUE"""),15)</f>
        <v>15</v>
      </c>
      <c r="D578" s="189" t="str">
        <f ca="1">IFERROR(__xludf.DUMMYFUNCTION("""COMPUTED_VALUE"""),"G")</f>
        <v>G</v>
      </c>
      <c r="E578" s="189" t="str">
        <f ca="1">IFERROR(__xludf.DUMMYFUNCTION("""COMPUTED_VALUE"""),"S")</f>
        <v>S</v>
      </c>
      <c r="F578" s="189" t="str">
        <f ca="1">IFERROR(__xludf.DUMMYFUNCTION("""COMPUTED_VALUE"""),"S")</f>
        <v>S</v>
      </c>
      <c r="G578" s="189">
        <f ca="1">IFERROR(__xludf.DUMMYFUNCTION("""COMPUTED_VALUE"""),1)</f>
        <v>1</v>
      </c>
      <c r="H578" s="196" t="s">
        <v>242</v>
      </c>
      <c r="I578" s="196"/>
      <c r="J578" s="196" t="s">
        <v>29</v>
      </c>
      <c r="K578" s="196"/>
      <c r="L578" s="196" t="str">
        <v xml:space="preserve"> 206.35</v>
      </c>
      <c r="M578" s="196"/>
    </row>
    <row r="579" spans="1:13" ht="14.4" x14ac:dyDescent="0.3">
      <c r="A579" s="189" t="str">
        <f ca="1">IFERROR(__xludf.DUMMYFUNCTION("""COMPUTED_VALUE"""),"F")</f>
        <v>F</v>
      </c>
      <c r="B579" s="195" t="str">
        <f ca="1">IFERROR(__xludf.DUMMYFUNCTION("""COMPUTED_VALUE"""),"Charlie Colwill")</f>
        <v>Charlie Colwill</v>
      </c>
      <c r="C579" s="189">
        <f ca="1">IFERROR(__xludf.DUMMYFUNCTION("""COMPUTED_VALUE"""),16)</f>
        <v>16</v>
      </c>
      <c r="D579" s="189" t="str">
        <f ca="1">IFERROR(__xludf.DUMMYFUNCTION("""COMPUTED_VALUE"""),"B")</f>
        <v>B</v>
      </c>
      <c r="E579" s="189" t="str">
        <f ca="1">IFERROR(__xludf.DUMMYFUNCTION("""COMPUTED_VALUE"""),"S")</f>
        <v>S</v>
      </c>
      <c r="F579" s="189" t="str">
        <f ca="1">IFERROR(__xludf.DUMMYFUNCTION("""COMPUTED_VALUE"""),"S")</f>
        <v>S</v>
      </c>
      <c r="G579" s="189">
        <f ca="1">IFERROR(__xludf.DUMMYFUNCTION("""COMPUTED_VALUE"""),1)</f>
        <v>1</v>
      </c>
      <c r="H579" s="196" t="s">
        <v>243</v>
      </c>
      <c r="I579" s="196"/>
      <c r="J579" s="196" t="s">
        <v>29</v>
      </c>
      <c r="K579" s="196"/>
      <c r="L579" s="196" t="str">
        <v xml:space="preserve"> 113.75</v>
      </c>
      <c r="M579" s="196"/>
    </row>
    <row r="580" spans="1:13" ht="14.4" x14ac:dyDescent="0.3">
      <c r="A580" s="189" t="str">
        <f ca="1">IFERROR(__xludf.DUMMYFUNCTION("""COMPUTED_VALUE"""),"F")</f>
        <v>F</v>
      </c>
      <c r="B580" s="195" t="str">
        <f ca="1">IFERROR(__xludf.DUMMYFUNCTION("""COMPUTED_VALUE"""),"Cody Schneider")</f>
        <v>Cody Schneider</v>
      </c>
      <c r="C580" s="189">
        <f ca="1">IFERROR(__xludf.DUMMYFUNCTION("""COMPUTED_VALUE"""),16)</f>
        <v>16</v>
      </c>
      <c r="D580" s="189" t="str">
        <f ca="1">IFERROR(__xludf.DUMMYFUNCTION("""COMPUTED_VALUE"""),"B")</f>
        <v>B</v>
      </c>
      <c r="E580" s="189" t="str">
        <f ca="1">IFERROR(__xludf.DUMMYFUNCTION("""COMPUTED_VALUE"""),"S")</f>
        <v>S</v>
      </c>
      <c r="F580" s="189" t="str">
        <f ca="1">IFERROR(__xludf.DUMMYFUNCTION("""COMPUTED_VALUE"""),"S")</f>
        <v>S</v>
      </c>
      <c r="G580" s="189">
        <f ca="1">IFERROR(__xludf.DUMMYFUNCTION("""COMPUTED_VALUE"""),1)</f>
        <v>1</v>
      </c>
      <c r="H580" s="196" t="s">
        <v>244</v>
      </c>
      <c r="I580" s="196"/>
      <c r="J580" s="196" t="s">
        <v>29</v>
      </c>
      <c r="K580" s="196"/>
      <c r="L580" s="196" t="str">
        <v xml:space="preserve"> 212.10</v>
      </c>
      <c r="M580" s="196"/>
    </row>
    <row r="581" spans="1:13" ht="14.4" x14ac:dyDescent="0.3">
      <c r="A581" s="189" t="str">
        <f ca="1">IFERROR(__xludf.DUMMYFUNCTION("""COMPUTED_VALUE"""),"F")</f>
        <v>F</v>
      </c>
      <c r="B581" s="195" t="str">
        <f ca="1">IFERROR(__xludf.DUMMYFUNCTION("""COMPUTED_VALUE"""),"Sawyer Andrews")</f>
        <v>Sawyer Andrews</v>
      </c>
      <c r="C581" s="189">
        <f ca="1">IFERROR(__xludf.DUMMYFUNCTION("""COMPUTED_VALUE"""),16)</f>
        <v>16</v>
      </c>
      <c r="D581" s="189" t="str">
        <f ca="1">IFERROR(__xludf.DUMMYFUNCTION("""COMPUTED_VALUE"""),"B")</f>
        <v>B</v>
      </c>
      <c r="E581" s="189" t="str">
        <f ca="1">IFERROR(__xludf.DUMMYFUNCTION("""COMPUTED_VALUE"""),"S")</f>
        <v>S</v>
      </c>
      <c r="F581" s="189" t="str">
        <f ca="1">IFERROR(__xludf.DUMMYFUNCTION("""COMPUTED_VALUE"""),"S")</f>
        <v>S</v>
      </c>
      <c r="G581" s="189">
        <f ca="1">IFERROR(__xludf.DUMMYFUNCTION("""COMPUTED_VALUE"""),1)</f>
        <v>1</v>
      </c>
      <c r="H581" s="196" t="s">
        <v>245</v>
      </c>
      <c r="I581" s="196"/>
      <c r="J581" s="196" t="s">
        <v>29</v>
      </c>
      <c r="K581" s="196"/>
      <c r="L581" s="196" t="str">
        <v xml:space="preserve"> 204.70</v>
      </c>
      <c r="M581" s="196"/>
    </row>
    <row r="582" spans="1:13" ht="14.4" x14ac:dyDescent="0.3">
      <c r="A582" s="189" t="str">
        <f ca="1">IFERROR(__xludf.DUMMYFUNCTION("""COMPUTED_VALUE"""),"FS")</f>
        <v>FS</v>
      </c>
      <c r="B582" s="195" t="str">
        <f ca="1">IFERROR(__xludf.DUMMYFUNCTION("""COMPUTED_VALUE"""),"Aliyah Benmbarek")</f>
        <v>Aliyah Benmbarek</v>
      </c>
      <c r="C582" s="189">
        <f ca="1">IFERROR(__xludf.DUMMYFUNCTION("""COMPUTED_VALUE"""),7)</f>
        <v>7</v>
      </c>
      <c r="D582" s="189" t="str">
        <f ca="1">IFERROR(__xludf.DUMMYFUNCTION("""COMPUTED_VALUE"""),"G")</f>
        <v>G</v>
      </c>
      <c r="E582" s="189" t="str">
        <f ca="1">IFERROR(__xludf.DUMMYFUNCTION("""COMPUTED_VALUE"""),"F")</f>
        <v>F</v>
      </c>
      <c r="F582" s="189" t="str">
        <f ca="1">IFERROR(__xludf.DUMMYFUNCTION("""COMPUTED_VALUE"""),"J")</f>
        <v>J</v>
      </c>
      <c r="G582" s="189">
        <f ca="1">IFERROR(__xludf.DUMMYFUNCTION("""COMPUTED_VALUE"""),3)</f>
        <v>3</v>
      </c>
      <c r="H582" s="196"/>
      <c r="I582" s="196"/>
      <c r="J582" s="196"/>
      <c r="K582" s="196"/>
      <c r="L582" s="196" t="str">
        <v/>
      </c>
      <c r="M582" s="196"/>
    </row>
    <row r="583" spans="1:13" ht="14.4" x14ac:dyDescent="0.3">
      <c r="A583" s="189" t="str">
        <f ca="1">IFERROR(__xludf.DUMMYFUNCTION("""COMPUTED_VALUE"""),"FS")</f>
        <v>FS</v>
      </c>
      <c r="B583" s="195" t="str">
        <f ca="1">IFERROR(__xludf.DUMMYFUNCTION("""COMPUTED_VALUE"""),"Avery Hilliard")</f>
        <v>Avery Hilliard</v>
      </c>
      <c r="C583" s="189">
        <f ca="1">IFERROR(__xludf.DUMMYFUNCTION("""COMPUTED_VALUE"""),8)</f>
        <v>8</v>
      </c>
      <c r="D583" s="189" t="str">
        <f ca="1">IFERROR(__xludf.DUMMYFUNCTION("""COMPUTED_VALUE"""),"G")</f>
        <v>G</v>
      </c>
      <c r="E583" s="189" t="str">
        <f ca="1">IFERROR(__xludf.DUMMYFUNCTION("""COMPUTED_VALUE"""),"F")</f>
        <v>F</v>
      </c>
      <c r="F583" s="189" t="str">
        <f ca="1">IFERROR(__xludf.DUMMYFUNCTION("""COMPUTED_VALUE"""),"J")</f>
        <v>J</v>
      </c>
      <c r="G583" s="189">
        <f ca="1">IFERROR(__xludf.DUMMYFUNCTION("""COMPUTED_VALUE"""),3)</f>
        <v>3</v>
      </c>
      <c r="H583" s="196" t="s">
        <v>246</v>
      </c>
      <c r="I583" s="196"/>
      <c r="J583" s="196" t="s">
        <v>29</v>
      </c>
      <c r="K583" s="196"/>
      <c r="L583" s="196" t="str">
        <v xml:space="preserve"> 39.75</v>
      </c>
      <c r="M583" s="196"/>
    </row>
    <row r="584" spans="1:13" ht="14.4" x14ac:dyDescent="0.3">
      <c r="A584" s="189" t="str">
        <f ca="1">IFERROR(__xludf.DUMMYFUNCTION("""COMPUTED_VALUE"""),"FS")</f>
        <v>FS</v>
      </c>
      <c r="B584" s="195" t="str">
        <f ca="1">IFERROR(__xludf.DUMMYFUNCTION("""COMPUTED_VALUE"""),"Brianna Solis")</f>
        <v>Brianna Solis</v>
      </c>
      <c r="C584" s="189">
        <f ca="1">IFERROR(__xludf.DUMMYFUNCTION("""COMPUTED_VALUE"""),9)</f>
        <v>9</v>
      </c>
      <c r="D584" s="189" t="str">
        <f ca="1">IFERROR(__xludf.DUMMYFUNCTION("""COMPUTED_VALUE"""),"G")</f>
        <v>G</v>
      </c>
      <c r="E584" s="189" t="str">
        <f ca="1">IFERROR(__xludf.DUMMYFUNCTION("""COMPUTED_VALUE"""),"F")</f>
        <v>F</v>
      </c>
      <c r="F584" s="189" t="str">
        <f ca="1">IFERROR(__xludf.DUMMYFUNCTION("""COMPUTED_VALUE"""),"J")</f>
        <v>J</v>
      </c>
      <c r="G584" s="189">
        <f ca="1">IFERROR(__xludf.DUMMYFUNCTION("""COMPUTED_VALUE"""),3)</f>
        <v>3</v>
      </c>
      <c r="H584" s="196"/>
      <c r="I584" s="196"/>
      <c r="J584" s="196"/>
      <c r="K584" s="196"/>
      <c r="L584" s="196" t="str">
        <v/>
      </c>
      <c r="M584" s="196"/>
    </row>
    <row r="585" spans="1:13" ht="14.4" x14ac:dyDescent="0.3">
      <c r="A585" s="189" t="str">
        <f ca="1">IFERROR(__xludf.DUMMYFUNCTION("""COMPUTED_VALUE"""),"FS")</f>
        <v>FS</v>
      </c>
      <c r="B585" s="195" t="str">
        <f ca="1">IFERROR(__xludf.DUMMYFUNCTION("""COMPUTED_VALUE"""),"Bridget O'Leary")</f>
        <v>Bridget O'Leary</v>
      </c>
      <c r="C585" s="189">
        <f ca="1">IFERROR(__xludf.DUMMYFUNCTION("""COMPUTED_VALUE"""),8)</f>
        <v>8</v>
      </c>
      <c r="D585" s="189" t="str">
        <f ca="1">IFERROR(__xludf.DUMMYFUNCTION("""COMPUTED_VALUE"""),"G")</f>
        <v>G</v>
      </c>
      <c r="E585" s="189" t="str">
        <f ca="1">IFERROR(__xludf.DUMMYFUNCTION("""COMPUTED_VALUE"""),"F")</f>
        <v>F</v>
      </c>
      <c r="F585" s="189" t="str">
        <f ca="1">IFERROR(__xludf.DUMMYFUNCTION("""COMPUTED_VALUE"""),"J")</f>
        <v>J</v>
      </c>
      <c r="G585" s="189">
        <f ca="1">IFERROR(__xludf.DUMMYFUNCTION("""COMPUTED_VALUE"""),3)</f>
        <v>3</v>
      </c>
      <c r="H585" s="196" t="s">
        <v>37</v>
      </c>
      <c r="I585" s="196"/>
      <c r="J585" s="196" t="s">
        <v>29</v>
      </c>
      <c r="K585" s="196"/>
      <c r="L585" s="196" t="str">
        <v xml:space="preserve"> 27.35</v>
      </c>
      <c r="M585" s="196"/>
    </row>
    <row r="586" spans="1:13" ht="14.4" x14ac:dyDescent="0.3">
      <c r="A586" s="189" t="str">
        <f ca="1">IFERROR(__xludf.DUMMYFUNCTION("""COMPUTED_VALUE"""),"FS")</f>
        <v>FS</v>
      </c>
      <c r="B586" s="195" t="str">
        <f ca="1">IFERROR(__xludf.DUMMYFUNCTION("""COMPUTED_VALUE"""),"Ellie Kisiel")</f>
        <v>Ellie Kisiel</v>
      </c>
      <c r="C586" s="189">
        <f ca="1">IFERROR(__xludf.DUMMYFUNCTION("""COMPUTED_VALUE"""),7)</f>
        <v>7</v>
      </c>
      <c r="D586" s="189" t="str">
        <f ca="1">IFERROR(__xludf.DUMMYFUNCTION("""COMPUTED_VALUE"""),"G")</f>
        <v>G</v>
      </c>
      <c r="E586" s="189" t="str">
        <f ca="1">IFERROR(__xludf.DUMMYFUNCTION("""COMPUTED_VALUE"""),"F")</f>
        <v>F</v>
      </c>
      <c r="F586" s="189" t="str">
        <f ca="1">IFERROR(__xludf.DUMMYFUNCTION("""COMPUTED_VALUE"""),"J")</f>
        <v>J</v>
      </c>
      <c r="G586" s="189">
        <f ca="1">IFERROR(__xludf.DUMMYFUNCTION("""COMPUTED_VALUE"""),3)</f>
        <v>3</v>
      </c>
      <c r="H586" s="196"/>
      <c r="I586" s="196"/>
      <c r="J586" s="196"/>
      <c r="K586" s="196"/>
      <c r="L586" s="196" t="str">
        <v/>
      </c>
      <c r="M586" s="196"/>
    </row>
    <row r="587" spans="1:13" ht="14.4" x14ac:dyDescent="0.3">
      <c r="A587" s="189" t="str">
        <f ca="1">IFERROR(__xludf.DUMMYFUNCTION("""COMPUTED_VALUE"""),"FS")</f>
        <v>FS</v>
      </c>
      <c r="B587" s="195" t="str">
        <f ca="1">IFERROR(__xludf.DUMMYFUNCTION("""COMPUTED_VALUE"""),"Everly McCormick")</f>
        <v>Everly McCormick</v>
      </c>
      <c r="C587" s="189">
        <f ca="1">IFERROR(__xludf.DUMMYFUNCTION("""COMPUTED_VALUE"""),9)</f>
        <v>9</v>
      </c>
      <c r="D587" s="189" t="str">
        <f ca="1">IFERROR(__xludf.DUMMYFUNCTION("""COMPUTED_VALUE"""),"G")</f>
        <v>G</v>
      </c>
      <c r="E587" s="189" t="str">
        <f ca="1">IFERROR(__xludf.DUMMYFUNCTION("""COMPUTED_VALUE"""),"F")</f>
        <v>F</v>
      </c>
      <c r="F587" s="189" t="str">
        <f ca="1">IFERROR(__xludf.DUMMYFUNCTION("""COMPUTED_VALUE"""),"J")</f>
        <v>J</v>
      </c>
      <c r="G587" s="189">
        <f ca="1">IFERROR(__xludf.DUMMYFUNCTION("""COMPUTED_VALUE"""),3)</f>
        <v>3</v>
      </c>
      <c r="H587" s="196"/>
      <c r="I587" s="196"/>
      <c r="J587" s="196"/>
      <c r="K587" s="196"/>
      <c r="L587" s="196" t="str">
        <v/>
      </c>
      <c r="M587" s="196"/>
    </row>
    <row r="588" spans="1:13" ht="14.4" x14ac:dyDescent="0.3">
      <c r="A588" s="189" t="str">
        <f ca="1">IFERROR(__xludf.DUMMYFUNCTION("""COMPUTED_VALUE"""),"FS")</f>
        <v>FS</v>
      </c>
      <c r="B588" s="195" t="str">
        <f ca="1">IFERROR(__xludf.DUMMYFUNCTION("""COMPUTED_VALUE"""),"Evie Reilly")</f>
        <v>Evie Reilly</v>
      </c>
      <c r="C588" s="189">
        <f ca="1">IFERROR(__xludf.DUMMYFUNCTION("""COMPUTED_VALUE"""),10)</f>
        <v>10</v>
      </c>
      <c r="D588" s="189" t="str">
        <f ca="1">IFERROR(__xludf.DUMMYFUNCTION("""COMPUTED_VALUE"""),"G")</f>
        <v>G</v>
      </c>
      <c r="E588" s="189" t="str">
        <f ca="1">IFERROR(__xludf.DUMMYFUNCTION("""COMPUTED_VALUE"""),"F")</f>
        <v>F</v>
      </c>
      <c r="F588" s="189" t="str">
        <f ca="1">IFERROR(__xludf.DUMMYFUNCTION("""COMPUTED_VALUE"""),"J")</f>
        <v>J</v>
      </c>
      <c r="G588" s="189">
        <f ca="1">IFERROR(__xludf.DUMMYFUNCTION("""COMPUTED_VALUE"""),3)</f>
        <v>3</v>
      </c>
      <c r="H588" s="196" t="s">
        <v>247</v>
      </c>
      <c r="I588" s="196"/>
      <c r="J588" s="196" t="s">
        <v>29</v>
      </c>
      <c r="K588" s="196"/>
      <c r="L588" s="196" t="str">
        <v xml:space="preserve"> 42.80</v>
      </c>
      <c r="M588" s="196"/>
    </row>
    <row r="589" spans="1:13" ht="14.4" x14ac:dyDescent="0.3">
      <c r="A589" s="189" t="str">
        <f ca="1">IFERROR(__xludf.DUMMYFUNCTION("""COMPUTED_VALUE"""),"FS")</f>
        <v>FS</v>
      </c>
      <c r="B589" s="195" t="str">
        <f ca="1">IFERROR(__xludf.DUMMYFUNCTION("""COMPUTED_VALUE"""),"Gaia Salcedo")</f>
        <v>Gaia Salcedo</v>
      </c>
      <c r="C589" s="189">
        <f ca="1">IFERROR(__xludf.DUMMYFUNCTION("""COMPUTED_VALUE"""),10)</f>
        <v>10</v>
      </c>
      <c r="D589" s="189" t="str">
        <f ca="1">IFERROR(__xludf.DUMMYFUNCTION("""COMPUTED_VALUE"""),"G")</f>
        <v>G</v>
      </c>
      <c r="E589" s="189" t="str">
        <f ca="1">IFERROR(__xludf.DUMMYFUNCTION("""COMPUTED_VALUE"""),"F")</f>
        <v>F</v>
      </c>
      <c r="F589" s="189" t="str">
        <f ca="1">IFERROR(__xludf.DUMMYFUNCTION("""COMPUTED_VALUE"""),"J")</f>
        <v>J</v>
      </c>
      <c r="G589" s="189">
        <f ca="1">IFERROR(__xludf.DUMMYFUNCTION("""COMPUTED_VALUE"""),3)</f>
        <v>3</v>
      </c>
      <c r="H589" s="196" t="s">
        <v>248</v>
      </c>
      <c r="I589" s="196"/>
      <c r="J589" s="196" t="s">
        <v>29</v>
      </c>
      <c r="K589" s="196"/>
      <c r="L589" s="196" t="str">
        <v xml:space="preserve"> 34.25</v>
      </c>
      <c r="M589" s="196"/>
    </row>
    <row r="590" spans="1:13" ht="14.4" x14ac:dyDescent="0.3">
      <c r="A590" s="189" t="str">
        <f ca="1">IFERROR(__xludf.DUMMYFUNCTION("""COMPUTED_VALUE"""),"FS")</f>
        <v>FS</v>
      </c>
      <c r="B590" s="195" t="str">
        <f ca="1">IFERROR(__xludf.DUMMYFUNCTION("""COMPUTED_VALUE"""),"London Duckett")</f>
        <v>London Duckett</v>
      </c>
      <c r="C590" s="189">
        <f ca="1">IFERROR(__xludf.DUMMYFUNCTION("""COMPUTED_VALUE"""),10)</f>
        <v>10</v>
      </c>
      <c r="D590" s="189" t="str">
        <f ca="1">IFERROR(__xludf.DUMMYFUNCTION("""COMPUTED_VALUE"""),"G")</f>
        <v>G</v>
      </c>
      <c r="E590" s="189" t="str">
        <f ca="1">IFERROR(__xludf.DUMMYFUNCTION("""COMPUTED_VALUE"""),"F")</f>
        <v>F</v>
      </c>
      <c r="F590" s="189" t="str">
        <f ca="1">IFERROR(__xludf.DUMMYFUNCTION("""COMPUTED_VALUE"""),"J")</f>
        <v>J</v>
      </c>
      <c r="G590" s="189">
        <f ca="1">IFERROR(__xludf.DUMMYFUNCTION("""COMPUTED_VALUE"""),3)</f>
        <v>3</v>
      </c>
      <c r="H590" s="196"/>
      <c r="I590" s="196"/>
      <c r="J590" s="196"/>
      <c r="K590" s="196"/>
      <c r="L590" s="196" t="str">
        <v/>
      </c>
      <c r="M590" s="196"/>
    </row>
    <row r="591" spans="1:13" ht="14.4" x14ac:dyDescent="0.3">
      <c r="A591" s="189" t="str">
        <f ca="1">IFERROR(__xludf.DUMMYFUNCTION("""COMPUTED_VALUE"""),"FS")</f>
        <v>FS</v>
      </c>
      <c r="B591" s="195" t="str">
        <f ca="1">IFERROR(__xludf.DUMMYFUNCTION("""COMPUTED_VALUE"""),"Olivia Anderson")</f>
        <v>Olivia Anderson</v>
      </c>
      <c r="C591" s="189">
        <f ca="1">IFERROR(__xludf.DUMMYFUNCTION("""COMPUTED_VALUE"""),8)</f>
        <v>8</v>
      </c>
      <c r="D591" s="189" t="str">
        <f ca="1">IFERROR(__xludf.DUMMYFUNCTION("""COMPUTED_VALUE"""),"G")</f>
        <v>G</v>
      </c>
      <c r="E591" s="189" t="str">
        <f ca="1">IFERROR(__xludf.DUMMYFUNCTION("""COMPUTED_VALUE"""),"F")</f>
        <v>F</v>
      </c>
      <c r="F591" s="189" t="str">
        <f ca="1">IFERROR(__xludf.DUMMYFUNCTION("""COMPUTED_VALUE"""),"J")</f>
        <v>J</v>
      </c>
      <c r="G591" s="189">
        <f ca="1">IFERROR(__xludf.DUMMYFUNCTION("""COMPUTED_VALUE"""),3)</f>
        <v>3</v>
      </c>
      <c r="H591" s="196" t="s">
        <v>137</v>
      </c>
      <c r="I591" s="196"/>
      <c r="J591" s="196" t="s">
        <v>29</v>
      </c>
      <c r="K591" s="196"/>
      <c r="L591" s="196" t="str">
        <v xml:space="preserve"> 64.55</v>
      </c>
      <c r="M591" s="196"/>
    </row>
    <row r="592" spans="1:13" ht="14.4" x14ac:dyDescent="0.3">
      <c r="A592" s="189" t="str">
        <f ca="1">IFERROR(__xludf.DUMMYFUNCTION("""COMPUTED_VALUE"""),"FS")</f>
        <v>FS</v>
      </c>
      <c r="B592" s="195" t="str">
        <f ca="1">IFERROR(__xludf.DUMMYFUNCTION("""COMPUTED_VALUE"""),"Shea McCarthy")</f>
        <v>Shea McCarthy</v>
      </c>
      <c r="C592" s="189">
        <f ca="1">IFERROR(__xludf.DUMMYFUNCTION("""COMPUTED_VALUE"""),10)</f>
        <v>10</v>
      </c>
      <c r="D592" s="189" t="str">
        <f ca="1">IFERROR(__xludf.DUMMYFUNCTION("""COMPUTED_VALUE"""),"G")</f>
        <v>G</v>
      </c>
      <c r="E592" s="189" t="str">
        <f ca="1">IFERROR(__xludf.DUMMYFUNCTION("""COMPUTED_VALUE"""),"F")</f>
        <v>F</v>
      </c>
      <c r="F592" s="189" t="str">
        <f ca="1">IFERROR(__xludf.DUMMYFUNCTION("""COMPUTED_VALUE"""),"J")</f>
        <v>J</v>
      </c>
      <c r="G592" s="189">
        <f ca="1">IFERROR(__xludf.DUMMYFUNCTION("""COMPUTED_VALUE"""),3)</f>
        <v>3</v>
      </c>
      <c r="H592" s="196"/>
      <c r="I592" s="196"/>
      <c r="J592" s="196"/>
      <c r="K592" s="196"/>
      <c r="L592" s="196" t="str">
        <v/>
      </c>
      <c r="M592" s="196"/>
    </row>
    <row r="593" spans="1:13" ht="14.4" x14ac:dyDescent="0.3">
      <c r="A593" s="189" t="str">
        <f ca="1">IFERROR(__xludf.DUMMYFUNCTION("""COMPUTED_VALUE"""),"FS")</f>
        <v>FS</v>
      </c>
      <c r="B593" s="195" t="str">
        <f ca="1">IFERROR(__xludf.DUMMYFUNCTION("""COMPUTED_VALUE"""),"Victoria Williams")</f>
        <v>Victoria Williams</v>
      </c>
      <c r="C593" s="189">
        <f ca="1">IFERROR(__xludf.DUMMYFUNCTION("""COMPUTED_VALUE"""),10)</f>
        <v>10</v>
      </c>
      <c r="D593" s="189" t="str">
        <f ca="1">IFERROR(__xludf.DUMMYFUNCTION("""COMPUTED_VALUE"""),"G")</f>
        <v>G</v>
      </c>
      <c r="E593" s="189" t="str">
        <f ca="1">IFERROR(__xludf.DUMMYFUNCTION("""COMPUTED_VALUE"""),"F")</f>
        <v>F</v>
      </c>
      <c r="F593" s="189" t="str">
        <f ca="1">IFERROR(__xludf.DUMMYFUNCTION("""COMPUTED_VALUE"""),"J")</f>
        <v>J</v>
      </c>
      <c r="G593" s="189">
        <f ca="1">IFERROR(__xludf.DUMMYFUNCTION("""COMPUTED_VALUE"""),3)</f>
        <v>3</v>
      </c>
      <c r="H593" s="196" t="s">
        <v>249</v>
      </c>
      <c r="I593" s="196"/>
      <c r="J593" s="196" t="s">
        <v>29</v>
      </c>
      <c r="K593" s="196"/>
      <c r="L593" s="196" t="str">
        <v xml:space="preserve"> 78.65</v>
      </c>
      <c r="M593" s="196"/>
    </row>
    <row r="594" spans="1:13" ht="14.4" x14ac:dyDescent="0.3">
      <c r="A594" s="189" t="str">
        <f ca="1">IFERROR(__xludf.DUMMYFUNCTION("""COMPUTED_VALUE"""),"FS")</f>
        <v>FS</v>
      </c>
      <c r="B594" s="195" t="str">
        <f ca="1">IFERROR(__xludf.DUMMYFUNCTION("""COMPUTED_VALUE"""),"Zahra Benmbarek")</f>
        <v>Zahra Benmbarek</v>
      </c>
      <c r="C594" s="189">
        <f ca="1">IFERROR(__xludf.DUMMYFUNCTION("""COMPUTED_VALUE"""),9)</f>
        <v>9</v>
      </c>
      <c r="D594" s="189" t="str">
        <f ca="1">IFERROR(__xludf.DUMMYFUNCTION("""COMPUTED_VALUE"""),"G")</f>
        <v>G</v>
      </c>
      <c r="E594" s="189" t="str">
        <f ca="1">IFERROR(__xludf.DUMMYFUNCTION("""COMPUTED_VALUE"""),"F")</f>
        <v>F</v>
      </c>
      <c r="F594" s="189" t="str">
        <f ca="1">IFERROR(__xludf.DUMMYFUNCTION("""COMPUTED_VALUE"""),"J")</f>
        <v>J</v>
      </c>
      <c r="G594" s="189">
        <f ca="1">IFERROR(__xludf.DUMMYFUNCTION("""COMPUTED_VALUE"""),3)</f>
        <v>3</v>
      </c>
      <c r="H594" s="196" t="s">
        <v>250</v>
      </c>
      <c r="I594" s="196"/>
      <c r="J594" s="196" t="s">
        <v>29</v>
      </c>
      <c r="K594" s="196"/>
      <c r="L594" s="196" t="str">
        <v xml:space="preserve"> 36.75</v>
      </c>
      <c r="M594" s="196"/>
    </row>
    <row r="595" spans="1:13" ht="14.4" x14ac:dyDescent="0.3">
      <c r="A595" s="189" t="str">
        <f ca="1">IFERROR(__xludf.DUMMYFUNCTION("""COMPUTED_VALUE"""),"FS")</f>
        <v>FS</v>
      </c>
      <c r="B595" s="195" t="str">
        <f ca="1">IFERROR(__xludf.DUMMYFUNCTION("""COMPUTED_VALUE"""),"Cavan Telleen")</f>
        <v>Cavan Telleen</v>
      </c>
      <c r="C595" s="189">
        <f ca="1">IFERROR(__xludf.DUMMYFUNCTION("""COMPUTED_VALUE"""),9)</f>
        <v>9</v>
      </c>
      <c r="D595" s="189" t="str">
        <f ca="1">IFERROR(__xludf.DUMMYFUNCTION("""COMPUTED_VALUE"""),"B")</f>
        <v>B</v>
      </c>
      <c r="E595" s="189" t="str">
        <f ca="1">IFERROR(__xludf.DUMMYFUNCTION("""COMPUTED_VALUE"""),"F")</f>
        <v>F</v>
      </c>
      <c r="F595" s="189" t="str">
        <f ca="1">IFERROR(__xludf.DUMMYFUNCTION("""COMPUTED_VALUE"""),"J")</f>
        <v>J</v>
      </c>
      <c r="G595" s="189">
        <f ca="1">IFERROR(__xludf.DUMMYFUNCTION("""COMPUTED_VALUE"""),3)</f>
        <v>3</v>
      </c>
      <c r="H595" s="196" t="s">
        <v>251</v>
      </c>
      <c r="I595" s="196"/>
      <c r="J595" s="196" t="s">
        <v>29</v>
      </c>
      <c r="K595" s="196"/>
      <c r="L595" s="196" t="str">
        <v xml:space="preserve"> 56.00</v>
      </c>
      <c r="M595" s="196"/>
    </row>
    <row r="596" spans="1:13" ht="14.4" x14ac:dyDescent="0.3">
      <c r="A596" s="189" t="str">
        <f ca="1">IFERROR(__xludf.DUMMYFUNCTION("""COMPUTED_VALUE"""),"FS")</f>
        <v>FS</v>
      </c>
      <c r="B596" s="195" t="str">
        <f ca="1">IFERROR(__xludf.DUMMYFUNCTION("""COMPUTED_VALUE"""),"Chanler Majiros")</f>
        <v>Chanler Majiros</v>
      </c>
      <c r="C596" s="189">
        <f ca="1">IFERROR(__xludf.DUMMYFUNCTION("""COMPUTED_VALUE"""),10)</f>
        <v>10</v>
      </c>
      <c r="D596" s="189" t="str">
        <f ca="1">IFERROR(__xludf.DUMMYFUNCTION("""COMPUTED_VALUE"""),"B")</f>
        <v>B</v>
      </c>
      <c r="E596" s="189" t="str">
        <f ca="1">IFERROR(__xludf.DUMMYFUNCTION("""COMPUTED_VALUE"""),"F")</f>
        <v>F</v>
      </c>
      <c r="F596" s="189" t="str">
        <f ca="1">IFERROR(__xludf.DUMMYFUNCTION("""COMPUTED_VALUE"""),"J")</f>
        <v>J</v>
      </c>
      <c r="G596" s="189">
        <f ca="1">IFERROR(__xludf.DUMMYFUNCTION("""COMPUTED_VALUE"""),3)</f>
        <v>3</v>
      </c>
      <c r="H596" s="196" t="s">
        <v>252</v>
      </c>
      <c r="I596" s="196"/>
      <c r="J596" s="196" t="s">
        <v>29</v>
      </c>
      <c r="K596" s="196"/>
      <c r="L596" s="196" t="str">
        <v xml:space="preserve"> 74.80</v>
      </c>
      <c r="M596" s="196"/>
    </row>
    <row r="597" spans="1:13" ht="14.4" x14ac:dyDescent="0.3">
      <c r="A597" s="189" t="str">
        <f ca="1">IFERROR(__xludf.DUMMYFUNCTION("""COMPUTED_VALUE"""),"FS")</f>
        <v>FS</v>
      </c>
      <c r="B597" s="195" t="str">
        <f ca="1">IFERROR(__xludf.DUMMYFUNCTION("""COMPUTED_VALUE"""),"Chase McCormick")</f>
        <v>Chase McCormick</v>
      </c>
      <c r="C597" s="189">
        <f ca="1">IFERROR(__xludf.DUMMYFUNCTION("""COMPUTED_VALUE"""),10)</f>
        <v>10</v>
      </c>
      <c r="D597" s="189" t="str">
        <f ca="1">IFERROR(__xludf.DUMMYFUNCTION("""COMPUTED_VALUE"""),"B")</f>
        <v>B</v>
      </c>
      <c r="E597" s="189" t="str">
        <f ca="1">IFERROR(__xludf.DUMMYFUNCTION("""COMPUTED_VALUE"""),"F")</f>
        <v>F</v>
      </c>
      <c r="F597" s="189" t="str">
        <f ca="1">IFERROR(__xludf.DUMMYFUNCTION("""COMPUTED_VALUE"""),"J")</f>
        <v>J</v>
      </c>
      <c r="G597" s="189">
        <f ca="1">IFERROR(__xludf.DUMMYFUNCTION("""COMPUTED_VALUE"""),3)</f>
        <v>3</v>
      </c>
      <c r="H597" s="196"/>
      <c r="I597" s="196"/>
      <c r="J597" s="196"/>
      <c r="K597" s="196"/>
      <c r="L597" s="196" t="str">
        <v/>
      </c>
      <c r="M597" s="196"/>
    </row>
    <row r="598" spans="1:13" ht="14.4" x14ac:dyDescent="0.3">
      <c r="A598" s="189" t="str">
        <f ca="1">IFERROR(__xludf.DUMMYFUNCTION("""COMPUTED_VALUE"""),"FS")</f>
        <v>FS</v>
      </c>
      <c r="B598" s="195" t="str">
        <f ca="1">IFERROR(__xludf.DUMMYFUNCTION("""COMPUTED_VALUE"""),"Ebenezer Louie")</f>
        <v>Ebenezer Louie</v>
      </c>
      <c r="C598" s="189">
        <f ca="1">IFERROR(__xludf.DUMMYFUNCTION("""COMPUTED_VALUE"""),9)</f>
        <v>9</v>
      </c>
      <c r="D598" s="189" t="str">
        <f ca="1">IFERROR(__xludf.DUMMYFUNCTION("""COMPUTED_VALUE"""),"B")</f>
        <v>B</v>
      </c>
      <c r="E598" s="189" t="str">
        <f ca="1">IFERROR(__xludf.DUMMYFUNCTION("""COMPUTED_VALUE"""),"F")</f>
        <v>F</v>
      </c>
      <c r="F598" s="189" t="str">
        <f ca="1">IFERROR(__xludf.DUMMYFUNCTION("""COMPUTED_VALUE"""),"J")</f>
        <v>J</v>
      </c>
      <c r="G598" s="189">
        <f ca="1">IFERROR(__xludf.DUMMYFUNCTION("""COMPUTED_VALUE"""),3)</f>
        <v>3</v>
      </c>
      <c r="H598" s="196" t="s">
        <v>253</v>
      </c>
      <c r="I598" s="196"/>
      <c r="J598" s="196" t="s">
        <v>29</v>
      </c>
      <c r="K598" s="196"/>
      <c r="L598" s="196" t="str">
        <v xml:space="preserve"> 35.85</v>
      </c>
      <c r="M598" s="196"/>
    </row>
    <row r="599" spans="1:13" ht="14.4" x14ac:dyDescent="0.3">
      <c r="A599" s="189" t="str">
        <f ca="1">IFERROR(__xludf.DUMMYFUNCTION("""COMPUTED_VALUE"""),"FS")</f>
        <v>FS</v>
      </c>
      <c r="B599" s="195" t="str">
        <f ca="1">IFERROR(__xludf.DUMMYFUNCTION("""COMPUTED_VALUE"""),"Ethan Louie")</f>
        <v>Ethan Louie</v>
      </c>
      <c r="C599" s="189">
        <f ca="1">IFERROR(__xludf.DUMMYFUNCTION("""COMPUTED_VALUE"""),6)</f>
        <v>6</v>
      </c>
      <c r="D599" s="189" t="str">
        <f ca="1">IFERROR(__xludf.DUMMYFUNCTION("""COMPUTED_VALUE"""),"B")</f>
        <v>B</v>
      </c>
      <c r="E599" s="189" t="str">
        <f ca="1">IFERROR(__xludf.DUMMYFUNCTION("""COMPUTED_VALUE"""),"F")</f>
        <v>F</v>
      </c>
      <c r="F599" s="189" t="str">
        <f ca="1">IFERROR(__xludf.DUMMYFUNCTION("""COMPUTED_VALUE"""),"J")</f>
        <v>J</v>
      </c>
      <c r="G599" s="189">
        <f ca="1">IFERROR(__xludf.DUMMYFUNCTION("""COMPUTED_VALUE"""),3)</f>
        <v>3</v>
      </c>
      <c r="H599" s="196"/>
      <c r="I599" s="196"/>
      <c r="J599" s="196"/>
      <c r="K599" s="196"/>
      <c r="L599" s="196" t="str">
        <v/>
      </c>
      <c r="M599" s="196"/>
    </row>
    <row r="600" spans="1:13" ht="14.4" x14ac:dyDescent="0.3">
      <c r="A600" s="189" t="str">
        <f ca="1">IFERROR(__xludf.DUMMYFUNCTION("""COMPUTED_VALUE"""),"FS")</f>
        <v>FS</v>
      </c>
      <c r="B600" s="195" t="str">
        <f ca="1">IFERROR(__xludf.DUMMYFUNCTION("""COMPUTED_VALUE"""),"Fletcher Telleen")</f>
        <v>Fletcher Telleen</v>
      </c>
      <c r="C600" s="189">
        <f ca="1">IFERROR(__xludf.DUMMYFUNCTION("""COMPUTED_VALUE"""),6)</f>
        <v>6</v>
      </c>
      <c r="D600" s="189" t="str">
        <f ca="1">IFERROR(__xludf.DUMMYFUNCTION("""COMPUTED_VALUE"""),"B")</f>
        <v>B</v>
      </c>
      <c r="E600" s="189" t="str">
        <f ca="1">IFERROR(__xludf.DUMMYFUNCTION("""COMPUTED_VALUE"""),"F")</f>
        <v>F</v>
      </c>
      <c r="F600" s="189" t="str">
        <f ca="1">IFERROR(__xludf.DUMMYFUNCTION("""COMPUTED_VALUE"""),"J")</f>
        <v>J</v>
      </c>
      <c r="G600" s="189">
        <f ca="1">IFERROR(__xludf.DUMMYFUNCTION("""COMPUTED_VALUE"""),3)</f>
        <v>3</v>
      </c>
      <c r="H600" s="196" t="s">
        <v>138</v>
      </c>
      <c r="I600" s="196"/>
      <c r="J600" s="196" t="s">
        <v>29</v>
      </c>
      <c r="K600" s="196"/>
      <c r="L600" s="196" t="str">
        <v xml:space="preserve"> 36.50</v>
      </c>
      <c r="M600" s="196"/>
    </row>
    <row r="601" spans="1:13" ht="14.4" x14ac:dyDescent="0.3">
      <c r="A601" s="189" t="str">
        <f ca="1">IFERROR(__xludf.DUMMYFUNCTION("""COMPUTED_VALUE"""),"FS")</f>
        <v>FS</v>
      </c>
      <c r="B601" s="195" t="str">
        <f ca="1">IFERROR(__xludf.DUMMYFUNCTION("""COMPUTED_VALUE"""),"Hudson Lybarger")</f>
        <v>Hudson Lybarger</v>
      </c>
      <c r="C601" s="189">
        <f ca="1">IFERROR(__xludf.DUMMYFUNCTION("""COMPUTED_VALUE"""),10)</f>
        <v>10</v>
      </c>
      <c r="D601" s="189" t="str">
        <f ca="1">IFERROR(__xludf.DUMMYFUNCTION("""COMPUTED_VALUE"""),"B")</f>
        <v>B</v>
      </c>
      <c r="E601" s="189" t="str">
        <f ca="1">IFERROR(__xludf.DUMMYFUNCTION("""COMPUTED_VALUE"""),"F")</f>
        <v>F</v>
      </c>
      <c r="F601" s="189" t="str">
        <f ca="1">IFERROR(__xludf.DUMMYFUNCTION("""COMPUTED_VALUE"""),"J")</f>
        <v>J</v>
      </c>
      <c r="G601" s="189">
        <f ca="1">IFERROR(__xludf.DUMMYFUNCTION("""COMPUTED_VALUE"""),3)</f>
        <v>3</v>
      </c>
      <c r="H601" s="196" t="s">
        <v>254</v>
      </c>
      <c r="I601" s="196"/>
      <c r="J601" s="196" t="s">
        <v>29</v>
      </c>
      <c r="K601" s="196"/>
      <c r="L601" s="196" t="str">
        <v xml:space="preserve"> 32.50</v>
      </c>
      <c r="M601" s="196"/>
    </row>
    <row r="602" spans="1:13" ht="14.4" x14ac:dyDescent="0.3">
      <c r="A602" s="189" t="str">
        <f ca="1">IFERROR(__xludf.DUMMYFUNCTION("""COMPUTED_VALUE"""),"FS")</f>
        <v>FS</v>
      </c>
      <c r="B602" s="195" t="str">
        <f ca="1">IFERROR(__xludf.DUMMYFUNCTION("""COMPUTED_VALUE"""),"Rowan O'Leary")</f>
        <v>Rowan O'Leary</v>
      </c>
      <c r="C602" s="189">
        <f ca="1">IFERROR(__xludf.DUMMYFUNCTION("""COMPUTED_VALUE"""),6)</f>
        <v>6</v>
      </c>
      <c r="D602" s="189" t="str">
        <f ca="1">IFERROR(__xludf.DUMMYFUNCTION("""COMPUTED_VALUE"""),"B")</f>
        <v>B</v>
      </c>
      <c r="E602" s="189" t="str">
        <f ca="1">IFERROR(__xludf.DUMMYFUNCTION("""COMPUTED_VALUE"""),"F")</f>
        <v>F</v>
      </c>
      <c r="F602" s="189" t="str">
        <f ca="1">IFERROR(__xludf.DUMMYFUNCTION("""COMPUTED_VALUE"""),"J")</f>
        <v>J</v>
      </c>
      <c r="G602" s="189">
        <f ca="1">IFERROR(__xludf.DUMMYFUNCTION("""COMPUTED_VALUE"""),3)</f>
        <v>3</v>
      </c>
      <c r="H602" s="196"/>
      <c r="I602" s="196"/>
      <c r="J602" s="196"/>
      <c r="K602" s="196"/>
      <c r="L602" s="196" t="str">
        <v/>
      </c>
      <c r="M602" s="196"/>
    </row>
    <row r="603" spans="1:13" ht="14.4" x14ac:dyDescent="0.3">
      <c r="A603" s="189" t="str">
        <f ca="1">IFERROR(__xludf.DUMMYFUNCTION("""COMPUTED_VALUE"""),"FS")</f>
        <v>FS</v>
      </c>
      <c r="B603" s="195" t="str">
        <f ca="1">IFERROR(__xludf.DUMMYFUNCTION("""COMPUTED_VALUE"""),"Adriana McCormick")</f>
        <v>Adriana McCormick</v>
      </c>
      <c r="C603" s="189">
        <f ca="1">IFERROR(__xludf.DUMMYFUNCTION("""COMPUTED_VALUE"""),14)</f>
        <v>14</v>
      </c>
      <c r="D603" s="189" t="str">
        <f ca="1">IFERROR(__xludf.DUMMYFUNCTION("""COMPUTED_VALUE"""),"G")</f>
        <v>G</v>
      </c>
      <c r="E603" s="189" t="str">
        <f ca="1">IFERROR(__xludf.DUMMYFUNCTION("""COMPUTED_VALUE"""),"I")</f>
        <v>I</v>
      </c>
      <c r="F603" s="189" t="str">
        <f ca="1">IFERROR(__xludf.DUMMYFUNCTION("""COMPUTED_VALUE"""),"S")</f>
        <v>S</v>
      </c>
      <c r="G603" s="189">
        <f ca="1">IFERROR(__xludf.DUMMYFUNCTION("""COMPUTED_VALUE"""),3)</f>
        <v>3</v>
      </c>
      <c r="H603" s="196" t="s">
        <v>255</v>
      </c>
      <c r="I603" s="196"/>
      <c r="J603" s="196" t="s">
        <v>29</v>
      </c>
      <c r="K603" s="196"/>
      <c r="L603" s="196" t="str">
        <v xml:space="preserve"> 65.80</v>
      </c>
      <c r="M603" s="196"/>
    </row>
    <row r="604" spans="1:13" ht="14.4" x14ac:dyDescent="0.3">
      <c r="A604" s="189" t="str">
        <f ca="1">IFERROR(__xludf.DUMMYFUNCTION("""COMPUTED_VALUE"""),"FS")</f>
        <v>FS</v>
      </c>
      <c r="B604" s="195" t="str">
        <f ca="1">IFERROR(__xludf.DUMMYFUNCTION("""COMPUTED_VALUE"""),"Anna Haigh")</f>
        <v>Anna Haigh</v>
      </c>
      <c r="C604" s="189">
        <f ca="1">IFERROR(__xludf.DUMMYFUNCTION("""COMPUTED_VALUE"""),13)</f>
        <v>13</v>
      </c>
      <c r="D604" s="189" t="str">
        <f ca="1">IFERROR(__xludf.DUMMYFUNCTION("""COMPUTED_VALUE"""),"G")</f>
        <v>G</v>
      </c>
      <c r="E604" s="189" t="str">
        <f ca="1">IFERROR(__xludf.DUMMYFUNCTION("""COMPUTED_VALUE"""),"I")</f>
        <v>I</v>
      </c>
      <c r="F604" s="189" t="str">
        <f ca="1">IFERROR(__xludf.DUMMYFUNCTION("""COMPUTED_VALUE"""),"S")</f>
        <v>S</v>
      </c>
      <c r="G604" s="189">
        <f ca="1">IFERROR(__xludf.DUMMYFUNCTION("""COMPUTED_VALUE"""),3)</f>
        <v>3</v>
      </c>
      <c r="H604" s="196"/>
      <c r="I604" s="196"/>
      <c r="J604" s="196"/>
      <c r="K604" s="196"/>
      <c r="L604" s="196" t="str">
        <v/>
      </c>
      <c r="M604" s="196"/>
    </row>
    <row r="605" spans="1:13" ht="14.4" x14ac:dyDescent="0.3">
      <c r="A605" s="189" t="str">
        <f ca="1">IFERROR(__xludf.DUMMYFUNCTION("""COMPUTED_VALUE"""),"FS")</f>
        <v>FS</v>
      </c>
      <c r="B605" s="195" t="str">
        <f ca="1">IFERROR(__xludf.DUMMYFUNCTION("""COMPUTED_VALUE"""),"Avi Padgett")</f>
        <v>Avi Padgett</v>
      </c>
      <c r="C605" s="189">
        <f ca="1">IFERROR(__xludf.DUMMYFUNCTION("""COMPUTED_VALUE"""),13)</f>
        <v>13</v>
      </c>
      <c r="D605" s="189" t="str">
        <f ca="1">IFERROR(__xludf.DUMMYFUNCTION("""COMPUTED_VALUE"""),"G")</f>
        <v>G</v>
      </c>
      <c r="E605" s="189" t="str">
        <f ca="1">IFERROR(__xludf.DUMMYFUNCTION("""COMPUTED_VALUE"""),"I")</f>
        <v>I</v>
      </c>
      <c r="F605" s="189" t="str">
        <f ca="1">IFERROR(__xludf.DUMMYFUNCTION("""COMPUTED_VALUE"""),"S")</f>
        <v>S</v>
      </c>
      <c r="G605" s="189">
        <f ca="1">IFERROR(__xludf.DUMMYFUNCTION("""COMPUTED_VALUE"""),3)</f>
        <v>3</v>
      </c>
      <c r="H605" s="196"/>
      <c r="I605" s="196"/>
      <c r="J605" s="196"/>
      <c r="K605" s="196"/>
      <c r="L605" s="196" t="str">
        <v/>
      </c>
      <c r="M605" s="196"/>
    </row>
    <row r="606" spans="1:13" ht="14.4" x14ac:dyDescent="0.3">
      <c r="A606" s="189" t="str">
        <f ca="1">IFERROR(__xludf.DUMMYFUNCTION("""COMPUTED_VALUE"""),"FS")</f>
        <v>FS</v>
      </c>
      <c r="B606" s="195" t="str">
        <f ca="1">IFERROR(__xludf.DUMMYFUNCTION("""COMPUTED_VALUE"""),"Elza Jones")</f>
        <v>Elza Jones</v>
      </c>
      <c r="C606" s="189">
        <f ca="1">IFERROR(__xludf.DUMMYFUNCTION("""COMPUTED_VALUE"""),13)</f>
        <v>13</v>
      </c>
      <c r="D606" s="189" t="str">
        <f ca="1">IFERROR(__xludf.DUMMYFUNCTION("""COMPUTED_VALUE"""),"G")</f>
        <v>G</v>
      </c>
      <c r="E606" s="189" t="str">
        <f ca="1">IFERROR(__xludf.DUMMYFUNCTION("""COMPUTED_VALUE"""),"I")</f>
        <v>I</v>
      </c>
      <c r="F606" s="189" t="str">
        <f ca="1">IFERROR(__xludf.DUMMYFUNCTION("""COMPUTED_VALUE"""),"S")</f>
        <v>S</v>
      </c>
      <c r="G606" s="189">
        <f ca="1">IFERROR(__xludf.DUMMYFUNCTION("""COMPUTED_VALUE"""),3)</f>
        <v>3</v>
      </c>
      <c r="H606" s="196" t="s">
        <v>203</v>
      </c>
      <c r="I606" s="196"/>
      <c r="J606" s="196" t="s">
        <v>29</v>
      </c>
      <c r="K606" s="196"/>
      <c r="L606" s="196" t="str">
        <v xml:space="preserve"> 53.50</v>
      </c>
      <c r="M606" s="196"/>
    </row>
    <row r="607" spans="1:13" ht="14.4" x14ac:dyDescent="0.3">
      <c r="A607" s="189" t="str">
        <f ca="1">IFERROR(__xludf.DUMMYFUNCTION("""COMPUTED_VALUE"""),"FS")</f>
        <v>FS</v>
      </c>
      <c r="B607" s="195" t="str">
        <f ca="1">IFERROR(__xludf.DUMMYFUNCTION("""COMPUTED_VALUE"""),"Keigan Hickey")</f>
        <v>Keigan Hickey</v>
      </c>
      <c r="C607" s="189">
        <f ca="1">IFERROR(__xludf.DUMMYFUNCTION("""COMPUTED_VALUE"""),14)</f>
        <v>14</v>
      </c>
      <c r="D607" s="189" t="str">
        <f ca="1">IFERROR(__xludf.DUMMYFUNCTION("""COMPUTED_VALUE"""),"G")</f>
        <v>G</v>
      </c>
      <c r="E607" s="189" t="str">
        <f ca="1">IFERROR(__xludf.DUMMYFUNCTION("""COMPUTED_VALUE"""),"I")</f>
        <v>I</v>
      </c>
      <c r="F607" s="189" t="str">
        <f ca="1">IFERROR(__xludf.DUMMYFUNCTION("""COMPUTED_VALUE"""),"S")</f>
        <v>S</v>
      </c>
      <c r="G607" s="189">
        <f ca="1">IFERROR(__xludf.DUMMYFUNCTION("""COMPUTED_VALUE"""),3)</f>
        <v>3</v>
      </c>
      <c r="H607" s="196"/>
      <c r="I607" s="196"/>
      <c r="J607" s="196"/>
      <c r="K607" s="196"/>
      <c r="L607" s="196" t="str">
        <v/>
      </c>
      <c r="M607" s="196"/>
    </row>
    <row r="608" spans="1:13" ht="14.4" x14ac:dyDescent="0.3">
      <c r="A608" s="189" t="str">
        <f ca="1">IFERROR(__xludf.DUMMYFUNCTION("""COMPUTED_VALUE"""),"FS")</f>
        <v>FS</v>
      </c>
      <c r="B608" s="195" t="str">
        <f ca="1">IFERROR(__xludf.DUMMYFUNCTION("""COMPUTED_VALUE"""),"Mikayla Dykes")</f>
        <v>Mikayla Dykes</v>
      </c>
      <c r="C608" s="189">
        <f ca="1">IFERROR(__xludf.DUMMYFUNCTION("""COMPUTED_VALUE"""),14)</f>
        <v>14</v>
      </c>
      <c r="D608" s="189" t="str">
        <f ca="1">IFERROR(__xludf.DUMMYFUNCTION("""COMPUTED_VALUE"""),"G")</f>
        <v>G</v>
      </c>
      <c r="E608" s="189" t="str">
        <f ca="1">IFERROR(__xludf.DUMMYFUNCTION("""COMPUTED_VALUE"""),"I")</f>
        <v>I</v>
      </c>
      <c r="F608" s="189" t="str">
        <f ca="1">IFERROR(__xludf.DUMMYFUNCTION("""COMPUTED_VALUE"""),"S")</f>
        <v>S</v>
      </c>
      <c r="G608" s="189">
        <f ca="1">IFERROR(__xludf.DUMMYFUNCTION("""COMPUTED_VALUE"""),3)</f>
        <v>3</v>
      </c>
      <c r="H608" s="196"/>
      <c r="I608" s="196"/>
      <c r="J608" s="196"/>
      <c r="K608" s="196"/>
      <c r="L608" s="196" t="str">
        <v/>
      </c>
      <c r="M608" s="196"/>
    </row>
    <row r="609" spans="1:13" ht="14.4" x14ac:dyDescent="0.3">
      <c r="A609" s="189" t="str">
        <f ca="1">IFERROR(__xludf.DUMMYFUNCTION("""COMPUTED_VALUE"""),"FS")</f>
        <v>FS</v>
      </c>
      <c r="B609" s="195" t="str">
        <f ca="1">IFERROR(__xludf.DUMMYFUNCTION("""COMPUTED_VALUE"""),"Olivia Hilliard")</f>
        <v>Olivia Hilliard</v>
      </c>
      <c r="C609" s="189">
        <f ca="1">IFERROR(__xludf.DUMMYFUNCTION("""COMPUTED_VALUE"""),13)</f>
        <v>13</v>
      </c>
      <c r="D609" s="189" t="str">
        <f ca="1">IFERROR(__xludf.DUMMYFUNCTION("""COMPUTED_VALUE"""),"G")</f>
        <v>G</v>
      </c>
      <c r="E609" s="189" t="str">
        <f ca="1">IFERROR(__xludf.DUMMYFUNCTION("""COMPUTED_VALUE"""),"I")</f>
        <v>I</v>
      </c>
      <c r="F609" s="189" t="str">
        <f ca="1">IFERROR(__xludf.DUMMYFUNCTION("""COMPUTED_VALUE"""),"S")</f>
        <v>S</v>
      </c>
      <c r="G609" s="189">
        <f ca="1">IFERROR(__xludf.DUMMYFUNCTION("""COMPUTED_VALUE"""),3)</f>
        <v>3</v>
      </c>
      <c r="H609" s="196"/>
      <c r="I609" s="196"/>
      <c r="J609" s="196"/>
      <c r="K609" s="196"/>
      <c r="L609" s="196" t="str">
        <v/>
      </c>
      <c r="M609" s="196"/>
    </row>
    <row r="610" spans="1:13" ht="14.4" x14ac:dyDescent="0.3">
      <c r="A610" s="189" t="str">
        <f ca="1">IFERROR(__xludf.DUMMYFUNCTION("""COMPUTED_VALUE"""),"FS")</f>
        <v>FS</v>
      </c>
      <c r="B610" s="195" t="str">
        <f ca="1">IFERROR(__xludf.DUMMYFUNCTION("""COMPUTED_VALUE"""),"Rebecca Perkowski")</f>
        <v>Rebecca Perkowski</v>
      </c>
      <c r="C610" s="189">
        <f ca="1">IFERROR(__xludf.DUMMYFUNCTION("""COMPUTED_VALUE"""),14)</f>
        <v>14</v>
      </c>
      <c r="D610" s="189" t="str">
        <f ca="1">IFERROR(__xludf.DUMMYFUNCTION("""COMPUTED_VALUE"""),"G")</f>
        <v>G</v>
      </c>
      <c r="E610" s="189" t="str">
        <f ca="1">IFERROR(__xludf.DUMMYFUNCTION("""COMPUTED_VALUE"""),"I")</f>
        <v>I</v>
      </c>
      <c r="F610" s="189" t="str">
        <f ca="1">IFERROR(__xludf.DUMMYFUNCTION("""COMPUTED_VALUE"""),"S")</f>
        <v>S</v>
      </c>
      <c r="G610" s="189">
        <f ca="1">IFERROR(__xludf.DUMMYFUNCTION("""COMPUTED_VALUE"""),3)</f>
        <v>3</v>
      </c>
      <c r="H610" s="196"/>
      <c r="I610" s="196"/>
      <c r="J610" s="196"/>
      <c r="K610" s="196"/>
      <c r="L610" s="196" t="str">
        <v/>
      </c>
      <c r="M610" s="196"/>
    </row>
    <row r="611" spans="1:13" ht="14.4" x14ac:dyDescent="0.3">
      <c r="A611" s="189" t="str">
        <f ca="1">IFERROR(__xludf.DUMMYFUNCTION("""COMPUTED_VALUE"""),"FS")</f>
        <v>FS</v>
      </c>
      <c r="B611" s="195" t="str">
        <f ca="1">IFERROR(__xludf.DUMMYFUNCTION("""COMPUTED_VALUE"""),"Stella Budiu")</f>
        <v>Stella Budiu</v>
      </c>
      <c r="C611" s="189">
        <f ca="1">IFERROR(__xludf.DUMMYFUNCTION("""COMPUTED_VALUE"""),13)</f>
        <v>13</v>
      </c>
      <c r="D611" s="189" t="str">
        <f ca="1">IFERROR(__xludf.DUMMYFUNCTION("""COMPUTED_VALUE"""),"G")</f>
        <v>G</v>
      </c>
      <c r="E611" s="189" t="str">
        <f ca="1">IFERROR(__xludf.DUMMYFUNCTION("""COMPUTED_VALUE"""),"I")</f>
        <v>I</v>
      </c>
      <c r="F611" s="189" t="str">
        <f ca="1">IFERROR(__xludf.DUMMYFUNCTION("""COMPUTED_VALUE"""),"S")</f>
        <v>S</v>
      </c>
      <c r="G611" s="189">
        <f ca="1">IFERROR(__xludf.DUMMYFUNCTION("""COMPUTED_VALUE"""),3)</f>
        <v>3</v>
      </c>
      <c r="H611" s="196"/>
      <c r="I611" s="196"/>
      <c r="J611" s="196"/>
      <c r="K611" s="196"/>
      <c r="L611" s="196" t="str">
        <v/>
      </c>
      <c r="M611" s="196"/>
    </row>
    <row r="612" spans="1:13" ht="14.4" x14ac:dyDescent="0.3">
      <c r="A612" s="189" t="str">
        <f ca="1">IFERROR(__xludf.DUMMYFUNCTION("""COMPUTED_VALUE"""),"FS")</f>
        <v>FS</v>
      </c>
      <c r="B612" s="195" t="str">
        <f ca="1">IFERROR(__xludf.DUMMYFUNCTION("""COMPUTED_VALUE"""),"Stella Klein")</f>
        <v>Stella Klein</v>
      </c>
      <c r="C612" s="189">
        <f ca="1">IFERROR(__xludf.DUMMYFUNCTION("""COMPUTED_VALUE"""),13)</f>
        <v>13</v>
      </c>
      <c r="D612" s="189" t="str">
        <f ca="1">IFERROR(__xludf.DUMMYFUNCTION("""COMPUTED_VALUE"""),"G")</f>
        <v>G</v>
      </c>
      <c r="E612" s="189" t="str">
        <f ca="1">IFERROR(__xludf.DUMMYFUNCTION("""COMPUTED_VALUE"""),"I")</f>
        <v>I</v>
      </c>
      <c r="F612" s="189" t="str">
        <f ca="1">IFERROR(__xludf.DUMMYFUNCTION("""COMPUTED_VALUE"""),"S")</f>
        <v>S</v>
      </c>
      <c r="G612" s="189">
        <f ca="1">IFERROR(__xludf.DUMMYFUNCTION("""COMPUTED_VALUE"""),3)</f>
        <v>3</v>
      </c>
      <c r="H612" s="196"/>
      <c r="I612" s="196"/>
      <c r="J612" s="196"/>
      <c r="K612" s="196"/>
      <c r="L612" s="196" t="str">
        <v/>
      </c>
      <c r="M612" s="196"/>
    </row>
    <row r="613" spans="1:13" ht="14.4" x14ac:dyDescent="0.3">
      <c r="A613" s="189" t="str">
        <f ca="1">IFERROR(__xludf.DUMMYFUNCTION("""COMPUTED_VALUE"""),"FS")</f>
        <v>FS</v>
      </c>
      <c r="B613" s="195" t="str">
        <f ca="1">IFERROR(__xludf.DUMMYFUNCTION("""COMPUTED_VALUE"""),"Alden Meholic")</f>
        <v>Alden Meholic</v>
      </c>
      <c r="C613" s="189">
        <f ca="1">IFERROR(__xludf.DUMMYFUNCTION("""COMPUTED_VALUE"""),13)</f>
        <v>13</v>
      </c>
      <c r="D613" s="189" t="str">
        <f ca="1">IFERROR(__xludf.DUMMYFUNCTION("""COMPUTED_VALUE"""),"B")</f>
        <v>B</v>
      </c>
      <c r="E613" s="189" t="str">
        <f ca="1">IFERROR(__xludf.DUMMYFUNCTION("""COMPUTED_VALUE"""),"I")</f>
        <v>I</v>
      </c>
      <c r="F613" s="189" t="str">
        <f ca="1">IFERROR(__xludf.DUMMYFUNCTION("""COMPUTED_VALUE"""),"S")</f>
        <v>S</v>
      </c>
      <c r="G613" s="189">
        <f ca="1">IFERROR(__xludf.DUMMYFUNCTION("""COMPUTED_VALUE"""),3)</f>
        <v>3</v>
      </c>
      <c r="H613" s="196" t="s">
        <v>256</v>
      </c>
      <c r="I613" s="196"/>
      <c r="J613" s="196" t="s">
        <v>29</v>
      </c>
      <c r="K613" s="196"/>
      <c r="L613" s="196" t="str">
        <v xml:space="preserve"> 96.10</v>
      </c>
      <c r="M613" s="196"/>
    </row>
    <row r="614" spans="1:13" ht="14.4" x14ac:dyDescent="0.3">
      <c r="A614" s="189" t="str">
        <f ca="1">IFERROR(__xludf.DUMMYFUNCTION("""COMPUTED_VALUE"""),"FS")</f>
        <v>FS</v>
      </c>
      <c r="B614" s="195" t="str">
        <f ca="1">IFERROR(__xludf.DUMMYFUNCTION("""COMPUTED_VALUE"""),"Andrew Parente")</f>
        <v>Andrew Parente</v>
      </c>
      <c r="C614" s="189">
        <f ca="1">IFERROR(__xludf.DUMMYFUNCTION("""COMPUTED_VALUE"""),13)</f>
        <v>13</v>
      </c>
      <c r="D614" s="189" t="str">
        <f ca="1">IFERROR(__xludf.DUMMYFUNCTION("""COMPUTED_VALUE"""),"B")</f>
        <v>B</v>
      </c>
      <c r="E614" s="189" t="str">
        <f ca="1">IFERROR(__xludf.DUMMYFUNCTION("""COMPUTED_VALUE"""),"I")</f>
        <v>I</v>
      </c>
      <c r="F614" s="189" t="str">
        <f ca="1">IFERROR(__xludf.DUMMYFUNCTION("""COMPUTED_VALUE"""),"S")</f>
        <v>S</v>
      </c>
      <c r="G614" s="189">
        <f ca="1">IFERROR(__xludf.DUMMYFUNCTION("""COMPUTED_VALUE"""),3)</f>
        <v>3</v>
      </c>
      <c r="H614" s="196" t="s">
        <v>257</v>
      </c>
      <c r="I614" s="196"/>
      <c r="J614" s="196" t="s">
        <v>29</v>
      </c>
      <c r="K614" s="196"/>
      <c r="L614" s="196" t="str">
        <v xml:space="preserve"> 91.25</v>
      </c>
      <c r="M614" s="196"/>
    </row>
    <row r="615" spans="1:13" ht="14.4" x14ac:dyDescent="0.3">
      <c r="A615" s="189" t="str">
        <f ca="1">IFERROR(__xludf.DUMMYFUNCTION("""COMPUTED_VALUE"""),"FS")</f>
        <v>FS</v>
      </c>
      <c r="B615" s="195" t="str">
        <f ca="1">IFERROR(__xludf.DUMMYFUNCTION("""COMPUTED_VALUE"""),"Boone Dean")</f>
        <v>Boone Dean</v>
      </c>
      <c r="C615" s="189">
        <f ca="1">IFERROR(__xludf.DUMMYFUNCTION("""COMPUTED_VALUE"""),13)</f>
        <v>13</v>
      </c>
      <c r="D615" s="189" t="str">
        <f ca="1">IFERROR(__xludf.DUMMYFUNCTION("""COMPUTED_VALUE"""),"B")</f>
        <v>B</v>
      </c>
      <c r="E615" s="189" t="str">
        <f ca="1">IFERROR(__xludf.DUMMYFUNCTION("""COMPUTED_VALUE"""),"I")</f>
        <v>I</v>
      </c>
      <c r="F615" s="189" t="str">
        <f ca="1">IFERROR(__xludf.DUMMYFUNCTION("""COMPUTED_VALUE"""),"S")</f>
        <v>S</v>
      </c>
      <c r="G615" s="189">
        <f ca="1">IFERROR(__xludf.DUMMYFUNCTION("""COMPUTED_VALUE"""),3)</f>
        <v>3</v>
      </c>
      <c r="H615" s="196"/>
      <c r="I615" s="196"/>
      <c r="J615" s="196"/>
      <c r="K615" s="196"/>
      <c r="L615" s="196" t="str">
        <v/>
      </c>
      <c r="M615" s="196"/>
    </row>
    <row r="616" spans="1:13" ht="14.4" x14ac:dyDescent="0.3">
      <c r="A616" s="189" t="str">
        <f ca="1">IFERROR(__xludf.DUMMYFUNCTION("""COMPUTED_VALUE"""),"FS")</f>
        <v>FS</v>
      </c>
      <c r="B616" s="195" t="str">
        <f ca="1">IFERROR(__xludf.DUMMYFUNCTION("""COMPUTED_VALUE"""),"Abby Reilly")</f>
        <v>Abby Reilly</v>
      </c>
      <c r="C616" s="189">
        <f ca="1">IFERROR(__xludf.DUMMYFUNCTION("""COMPUTED_VALUE"""),12)</f>
        <v>12</v>
      </c>
      <c r="D616" s="189" t="str">
        <f ca="1">IFERROR(__xludf.DUMMYFUNCTION("""COMPUTED_VALUE"""),"G")</f>
        <v>G</v>
      </c>
      <c r="E616" s="189" t="str">
        <f ca="1">IFERROR(__xludf.DUMMYFUNCTION("""COMPUTED_VALUE"""),"J")</f>
        <v>J</v>
      </c>
      <c r="F616" s="189" t="str">
        <f ca="1">IFERROR(__xludf.DUMMYFUNCTION("""COMPUTED_VALUE"""),"I")</f>
        <v>I</v>
      </c>
      <c r="G616" s="189">
        <f ca="1">IFERROR(__xludf.DUMMYFUNCTION("""COMPUTED_VALUE"""),3)</f>
        <v>3</v>
      </c>
      <c r="H616" s="196" t="s">
        <v>258</v>
      </c>
      <c r="I616" s="196"/>
      <c r="J616" s="196" t="s">
        <v>29</v>
      </c>
      <c r="K616" s="196"/>
      <c r="L616" s="196" t="str">
        <v xml:space="preserve"> 63.80</v>
      </c>
      <c r="M616" s="196"/>
    </row>
    <row r="617" spans="1:13" ht="14.4" x14ac:dyDescent="0.3">
      <c r="A617" s="189" t="str">
        <f ca="1">IFERROR(__xludf.DUMMYFUNCTION("""COMPUTED_VALUE"""),"FS")</f>
        <v>FS</v>
      </c>
      <c r="B617" s="195" t="str">
        <f ca="1">IFERROR(__xludf.DUMMYFUNCTION("""COMPUTED_VALUE"""),"Antonella Salcedo")</f>
        <v>Antonella Salcedo</v>
      </c>
      <c r="C617" s="189">
        <f ca="1">IFERROR(__xludf.DUMMYFUNCTION("""COMPUTED_VALUE"""),11)</f>
        <v>11</v>
      </c>
      <c r="D617" s="189" t="str">
        <f ca="1">IFERROR(__xludf.DUMMYFUNCTION("""COMPUTED_VALUE"""),"G")</f>
        <v>G</v>
      </c>
      <c r="E617" s="189" t="str">
        <f ca="1">IFERROR(__xludf.DUMMYFUNCTION("""COMPUTED_VALUE"""),"J")</f>
        <v>J</v>
      </c>
      <c r="F617" s="189" t="str">
        <f ca="1">IFERROR(__xludf.DUMMYFUNCTION("""COMPUTED_VALUE"""),"I")</f>
        <v>I</v>
      </c>
      <c r="G617" s="189">
        <f ca="1">IFERROR(__xludf.DUMMYFUNCTION("""COMPUTED_VALUE"""),3)</f>
        <v>3</v>
      </c>
      <c r="H617" s="196"/>
      <c r="I617" s="196"/>
      <c r="J617" s="196"/>
      <c r="K617" s="196"/>
      <c r="L617" s="196" t="str">
        <v/>
      </c>
      <c r="M617" s="196"/>
    </row>
    <row r="618" spans="1:13" ht="14.4" x14ac:dyDescent="0.3">
      <c r="A618" s="189" t="str">
        <f ca="1">IFERROR(__xludf.DUMMYFUNCTION("""COMPUTED_VALUE"""),"FS")</f>
        <v>FS</v>
      </c>
      <c r="B618" s="195" t="str">
        <f ca="1">IFERROR(__xludf.DUMMYFUNCTION("""COMPUTED_VALUE"""),"Aria Giarraputo")</f>
        <v>Aria Giarraputo</v>
      </c>
      <c r="C618" s="189">
        <f ca="1">IFERROR(__xludf.DUMMYFUNCTION("""COMPUTED_VALUE"""),12)</f>
        <v>12</v>
      </c>
      <c r="D618" s="189" t="str">
        <f ca="1">IFERROR(__xludf.DUMMYFUNCTION("""COMPUTED_VALUE"""),"G")</f>
        <v>G</v>
      </c>
      <c r="E618" s="189" t="str">
        <f ca="1">IFERROR(__xludf.DUMMYFUNCTION("""COMPUTED_VALUE"""),"J")</f>
        <v>J</v>
      </c>
      <c r="F618" s="189" t="str">
        <f ca="1">IFERROR(__xludf.DUMMYFUNCTION("""COMPUTED_VALUE"""),"I")</f>
        <v>I</v>
      </c>
      <c r="G618" s="189">
        <f ca="1">IFERROR(__xludf.DUMMYFUNCTION("""COMPUTED_VALUE"""),3)</f>
        <v>3</v>
      </c>
      <c r="H618" s="196" t="s">
        <v>259</v>
      </c>
      <c r="I618" s="196"/>
      <c r="J618" s="196" t="s">
        <v>29</v>
      </c>
      <c r="K618" s="196"/>
      <c r="L618" s="196" t="str">
        <v xml:space="preserve"> 81.60</v>
      </c>
      <c r="M618" s="196"/>
    </row>
    <row r="619" spans="1:13" ht="14.4" x14ac:dyDescent="0.3">
      <c r="A619" s="189" t="str">
        <f ca="1">IFERROR(__xludf.DUMMYFUNCTION("""COMPUTED_VALUE"""),"FS")</f>
        <v>FS</v>
      </c>
      <c r="B619" s="195" t="str">
        <f ca="1">IFERROR(__xludf.DUMMYFUNCTION("""COMPUTED_VALUE"""),"Elizabeth Pidgeon")</f>
        <v>Elizabeth Pidgeon</v>
      </c>
      <c r="C619" s="189">
        <f ca="1">IFERROR(__xludf.DUMMYFUNCTION("""COMPUTED_VALUE"""),11)</f>
        <v>11</v>
      </c>
      <c r="D619" s="189" t="str">
        <f ca="1">IFERROR(__xludf.DUMMYFUNCTION("""COMPUTED_VALUE"""),"G")</f>
        <v>G</v>
      </c>
      <c r="E619" s="189" t="str">
        <f ca="1">IFERROR(__xludf.DUMMYFUNCTION("""COMPUTED_VALUE"""),"J")</f>
        <v>J</v>
      </c>
      <c r="F619" s="189" t="str">
        <f ca="1">IFERROR(__xludf.DUMMYFUNCTION("""COMPUTED_VALUE"""),"I")</f>
        <v>I</v>
      </c>
      <c r="G619" s="189">
        <f ca="1">IFERROR(__xludf.DUMMYFUNCTION("""COMPUTED_VALUE"""),3)</f>
        <v>3</v>
      </c>
      <c r="H619" s="196" t="s">
        <v>68</v>
      </c>
      <c r="I619" s="196"/>
      <c r="J619" s="196" t="s">
        <v>29</v>
      </c>
      <c r="K619" s="196"/>
      <c r="L619" s="196" t="str">
        <v xml:space="preserve"> 97.95</v>
      </c>
      <c r="M619" s="196"/>
    </row>
    <row r="620" spans="1:13" ht="14.4" x14ac:dyDescent="0.3">
      <c r="A620" s="189" t="str">
        <f ca="1">IFERROR(__xludf.DUMMYFUNCTION("""COMPUTED_VALUE"""),"FS")</f>
        <v>FS</v>
      </c>
      <c r="B620" s="195" t="str">
        <f ca="1">IFERROR(__xludf.DUMMYFUNCTION("""COMPUTED_VALUE"""),"Emersyn Wilbur")</f>
        <v>Emersyn Wilbur</v>
      </c>
      <c r="C620" s="189">
        <f ca="1">IFERROR(__xludf.DUMMYFUNCTION("""COMPUTED_VALUE"""),12)</f>
        <v>12</v>
      </c>
      <c r="D620" s="189" t="str">
        <f ca="1">IFERROR(__xludf.DUMMYFUNCTION("""COMPUTED_VALUE"""),"G")</f>
        <v>G</v>
      </c>
      <c r="E620" s="189" t="str">
        <f ca="1">IFERROR(__xludf.DUMMYFUNCTION("""COMPUTED_VALUE"""),"J")</f>
        <v>J</v>
      </c>
      <c r="F620" s="189" t="str">
        <f ca="1">IFERROR(__xludf.DUMMYFUNCTION("""COMPUTED_VALUE"""),"I")</f>
        <v>I</v>
      </c>
      <c r="G620" s="189">
        <f ca="1">IFERROR(__xludf.DUMMYFUNCTION("""COMPUTED_VALUE"""),3)</f>
        <v>3</v>
      </c>
      <c r="H620" s="196"/>
      <c r="I620" s="196"/>
      <c r="J620" s="196"/>
      <c r="K620" s="196"/>
      <c r="L620" s="196" t="str">
        <v/>
      </c>
      <c r="M620" s="196"/>
    </row>
    <row r="621" spans="1:13" ht="14.4" x14ac:dyDescent="0.3">
      <c r="A621" s="189" t="str">
        <f ca="1">IFERROR(__xludf.DUMMYFUNCTION("""COMPUTED_VALUE"""),"FS")</f>
        <v>FS</v>
      </c>
      <c r="B621" s="195" t="str">
        <f ca="1">IFERROR(__xludf.DUMMYFUNCTION("""COMPUTED_VALUE"""),"Lillian Haigh")</f>
        <v>Lillian Haigh</v>
      </c>
      <c r="C621" s="189">
        <f ca="1">IFERROR(__xludf.DUMMYFUNCTION("""COMPUTED_VALUE"""),11)</f>
        <v>11</v>
      </c>
      <c r="D621" s="189" t="str">
        <f ca="1">IFERROR(__xludf.DUMMYFUNCTION("""COMPUTED_VALUE"""),"G")</f>
        <v>G</v>
      </c>
      <c r="E621" s="189" t="str">
        <f ca="1">IFERROR(__xludf.DUMMYFUNCTION("""COMPUTED_VALUE"""),"J")</f>
        <v>J</v>
      </c>
      <c r="F621" s="189" t="str">
        <f ca="1">IFERROR(__xludf.DUMMYFUNCTION("""COMPUTED_VALUE"""),"I")</f>
        <v>I</v>
      </c>
      <c r="G621" s="189">
        <f ca="1">IFERROR(__xludf.DUMMYFUNCTION("""COMPUTED_VALUE"""),3)</f>
        <v>3</v>
      </c>
      <c r="H621" s="196"/>
      <c r="I621" s="196"/>
      <c r="J621" s="196"/>
      <c r="K621" s="196"/>
      <c r="L621" s="196" t="str">
        <v/>
      </c>
      <c r="M621" s="196"/>
    </row>
    <row r="622" spans="1:13" ht="14.4" x14ac:dyDescent="0.3">
      <c r="A622" s="189" t="str">
        <f ca="1">IFERROR(__xludf.DUMMYFUNCTION("""COMPUTED_VALUE"""),"FS")</f>
        <v>FS</v>
      </c>
      <c r="B622" s="195" t="str">
        <f ca="1">IFERROR(__xludf.DUMMYFUNCTION("""COMPUTED_VALUE"""),"Mady McCormack")</f>
        <v>Mady McCormack</v>
      </c>
      <c r="C622" s="189">
        <f ca="1">IFERROR(__xludf.DUMMYFUNCTION("""COMPUTED_VALUE"""),12)</f>
        <v>12</v>
      </c>
      <c r="D622" s="189" t="str">
        <f ca="1">IFERROR(__xludf.DUMMYFUNCTION("""COMPUTED_VALUE"""),"G")</f>
        <v>G</v>
      </c>
      <c r="E622" s="189" t="str">
        <f ca="1">IFERROR(__xludf.DUMMYFUNCTION("""COMPUTED_VALUE"""),"J")</f>
        <v>J</v>
      </c>
      <c r="F622" s="189" t="str">
        <f ca="1">IFERROR(__xludf.DUMMYFUNCTION("""COMPUTED_VALUE"""),"I")</f>
        <v>I</v>
      </c>
      <c r="G622" s="189">
        <f ca="1">IFERROR(__xludf.DUMMYFUNCTION("""COMPUTED_VALUE"""),3)</f>
        <v>3</v>
      </c>
      <c r="H622" s="196"/>
      <c r="I622" s="196"/>
      <c r="J622" s="196"/>
      <c r="K622" s="196"/>
      <c r="L622" s="196" t="str">
        <v/>
      </c>
      <c r="M622" s="196"/>
    </row>
    <row r="623" spans="1:13" ht="14.4" x14ac:dyDescent="0.3">
      <c r="A623" s="189" t="str">
        <f ca="1">IFERROR(__xludf.DUMMYFUNCTION("""COMPUTED_VALUE"""),"FS")</f>
        <v>FS</v>
      </c>
      <c r="B623" s="195" t="str">
        <f ca="1">IFERROR(__xludf.DUMMYFUNCTION("""COMPUTED_VALUE"""),"Marie Dorchak")</f>
        <v>Marie Dorchak</v>
      </c>
      <c r="C623" s="189">
        <f ca="1">IFERROR(__xludf.DUMMYFUNCTION("""COMPUTED_VALUE"""),11)</f>
        <v>11</v>
      </c>
      <c r="D623" s="189" t="str">
        <f ca="1">IFERROR(__xludf.DUMMYFUNCTION("""COMPUTED_VALUE"""),"G")</f>
        <v>G</v>
      </c>
      <c r="E623" s="189" t="str">
        <f ca="1">IFERROR(__xludf.DUMMYFUNCTION("""COMPUTED_VALUE"""),"J")</f>
        <v>J</v>
      </c>
      <c r="F623" s="189" t="str">
        <f ca="1">IFERROR(__xludf.DUMMYFUNCTION("""COMPUTED_VALUE"""),"I")</f>
        <v>I</v>
      </c>
      <c r="G623" s="189">
        <f ca="1">IFERROR(__xludf.DUMMYFUNCTION("""COMPUTED_VALUE"""),3)</f>
        <v>3</v>
      </c>
      <c r="H623" s="196"/>
      <c r="I623" s="196"/>
      <c r="J623" s="196"/>
      <c r="K623" s="196"/>
      <c r="L623" s="196" t="str">
        <v/>
      </c>
      <c r="M623" s="196"/>
    </row>
    <row r="624" spans="1:13" ht="14.4" x14ac:dyDescent="0.3">
      <c r="A624" s="189" t="str">
        <f ca="1">IFERROR(__xludf.DUMMYFUNCTION("""COMPUTED_VALUE"""),"FS")</f>
        <v>FS</v>
      </c>
      <c r="B624" s="195" t="str">
        <f ca="1">IFERROR(__xludf.DUMMYFUNCTION("""COMPUTED_VALUE"""),"Noelle Telleen")</f>
        <v>Noelle Telleen</v>
      </c>
      <c r="C624" s="189">
        <f ca="1">IFERROR(__xludf.DUMMYFUNCTION("""COMPUTED_VALUE"""),12)</f>
        <v>12</v>
      </c>
      <c r="D624" s="189" t="str">
        <f ca="1">IFERROR(__xludf.DUMMYFUNCTION("""COMPUTED_VALUE"""),"G")</f>
        <v>G</v>
      </c>
      <c r="E624" s="189" t="str">
        <f ca="1">IFERROR(__xludf.DUMMYFUNCTION("""COMPUTED_VALUE"""),"J")</f>
        <v>J</v>
      </c>
      <c r="F624" s="189" t="str">
        <f ca="1">IFERROR(__xludf.DUMMYFUNCTION("""COMPUTED_VALUE"""),"I")</f>
        <v>I</v>
      </c>
      <c r="G624" s="189">
        <f ca="1">IFERROR(__xludf.DUMMYFUNCTION("""COMPUTED_VALUE"""),3)</f>
        <v>3</v>
      </c>
      <c r="H624" s="196" t="s">
        <v>260</v>
      </c>
      <c r="I624" s="196"/>
      <c r="J624" s="196" t="s">
        <v>29</v>
      </c>
      <c r="K624" s="196"/>
      <c r="L624" s="196" t="str">
        <v xml:space="preserve"> 82.60</v>
      </c>
      <c r="M624" s="196"/>
    </row>
    <row r="625" spans="1:13" ht="14.4" x14ac:dyDescent="0.3">
      <c r="A625" s="189" t="str">
        <f ca="1">IFERROR(__xludf.DUMMYFUNCTION("""COMPUTED_VALUE"""),"FS")</f>
        <v>FS</v>
      </c>
      <c r="B625" s="195" t="str">
        <f ca="1">IFERROR(__xludf.DUMMYFUNCTION("""COMPUTED_VALUE"""),"Reese Marino")</f>
        <v>Reese Marino</v>
      </c>
      <c r="C625" s="189">
        <f ca="1">IFERROR(__xludf.DUMMYFUNCTION("""COMPUTED_VALUE"""),11)</f>
        <v>11</v>
      </c>
      <c r="D625" s="189" t="str">
        <f ca="1">IFERROR(__xludf.DUMMYFUNCTION("""COMPUTED_VALUE"""),"G")</f>
        <v>G</v>
      </c>
      <c r="E625" s="189" t="str">
        <f ca="1">IFERROR(__xludf.DUMMYFUNCTION("""COMPUTED_VALUE"""),"J")</f>
        <v>J</v>
      </c>
      <c r="F625" s="189" t="str">
        <f ca="1">IFERROR(__xludf.DUMMYFUNCTION("""COMPUTED_VALUE"""),"I")</f>
        <v>I</v>
      </c>
      <c r="G625" s="189">
        <f ca="1">IFERROR(__xludf.DUMMYFUNCTION("""COMPUTED_VALUE"""),3)</f>
        <v>3</v>
      </c>
      <c r="H625" s="196"/>
      <c r="I625" s="196"/>
      <c r="J625" s="196"/>
      <c r="K625" s="196"/>
      <c r="L625" s="196" t="str">
        <v/>
      </c>
      <c r="M625" s="196"/>
    </row>
    <row r="626" spans="1:13" ht="14.4" x14ac:dyDescent="0.3">
      <c r="A626" s="189" t="str">
        <f ca="1">IFERROR(__xludf.DUMMYFUNCTION("""COMPUTED_VALUE"""),"FS")</f>
        <v>FS</v>
      </c>
      <c r="B626" s="195" t="str">
        <f ca="1">IFERROR(__xludf.DUMMYFUNCTION("""COMPUTED_VALUE"""),"Henry Perkowski")</f>
        <v>Henry Perkowski</v>
      </c>
      <c r="C626" s="189">
        <f ca="1">IFERROR(__xludf.DUMMYFUNCTION("""COMPUTED_VALUE"""),12)</f>
        <v>12</v>
      </c>
      <c r="D626" s="189" t="str">
        <f ca="1">IFERROR(__xludf.DUMMYFUNCTION("""COMPUTED_VALUE"""),"B")</f>
        <v>B</v>
      </c>
      <c r="E626" s="189" t="str">
        <f ca="1">IFERROR(__xludf.DUMMYFUNCTION("""COMPUTED_VALUE"""),"J")</f>
        <v>J</v>
      </c>
      <c r="F626" s="189" t="str">
        <f ca="1">IFERROR(__xludf.DUMMYFUNCTION("""COMPUTED_VALUE"""),"I")</f>
        <v>I</v>
      </c>
      <c r="G626" s="189">
        <f ca="1">IFERROR(__xludf.DUMMYFUNCTION("""COMPUTED_VALUE"""),3)</f>
        <v>3</v>
      </c>
      <c r="H626" s="196"/>
      <c r="I626" s="196"/>
      <c r="J626" s="196"/>
      <c r="K626" s="196"/>
      <c r="L626" s="196" t="str">
        <v/>
      </c>
      <c r="M626" s="196"/>
    </row>
    <row r="627" spans="1:13" ht="14.4" x14ac:dyDescent="0.3">
      <c r="A627" s="189" t="str">
        <f ca="1">IFERROR(__xludf.DUMMYFUNCTION("""COMPUTED_VALUE"""),"FS")</f>
        <v>FS</v>
      </c>
      <c r="B627" s="195" t="str">
        <f ca="1">IFERROR(__xludf.DUMMYFUNCTION("""COMPUTED_VALUE"""),"Linus Raring")</f>
        <v>Linus Raring</v>
      </c>
      <c r="C627" s="189">
        <f ca="1">IFERROR(__xludf.DUMMYFUNCTION("""COMPUTED_VALUE"""),11)</f>
        <v>11</v>
      </c>
      <c r="D627" s="189" t="str">
        <f ca="1">IFERROR(__xludf.DUMMYFUNCTION("""COMPUTED_VALUE"""),"B")</f>
        <v>B</v>
      </c>
      <c r="E627" s="189" t="str">
        <f ca="1">IFERROR(__xludf.DUMMYFUNCTION("""COMPUTED_VALUE"""),"J")</f>
        <v>J</v>
      </c>
      <c r="F627" s="189" t="str">
        <f ca="1">IFERROR(__xludf.DUMMYFUNCTION("""COMPUTED_VALUE"""),"I")</f>
        <v>I</v>
      </c>
      <c r="G627" s="189">
        <f ca="1">IFERROR(__xludf.DUMMYFUNCTION("""COMPUTED_VALUE"""),3)</f>
        <v>3</v>
      </c>
      <c r="H627" s="196" t="s">
        <v>261</v>
      </c>
      <c r="I627" s="196"/>
      <c r="J627" s="196" t="s">
        <v>29</v>
      </c>
      <c r="K627" s="196"/>
      <c r="L627" s="196" t="str">
        <v xml:space="preserve"> 39.65</v>
      </c>
      <c r="M627" s="196"/>
    </row>
    <row r="628" spans="1:13" ht="14.4" x14ac:dyDescent="0.3">
      <c r="A628" s="189" t="str">
        <f ca="1">IFERROR(__xludf.DUMMYFUNCTION("""COMPUTED_VALUE"""),"FS")</f>
        <v>FS</v>
      </c>
      <c r="B628" s="195" t="str">
        <f ca="1">IFERROR(__xludf.DUMMYFUNCTION("""COMPUTED_VALUE"""),"Renner Davis")</f>
        <v>Renner Davis</v>
      </c>
      <c r="C628" s="189">
        <f ca="1">IFERROR(__xludf.DUMMYFUNCTION("""COMPUTED_VALUE"""),12)</f>
        <v>12</v>
      </c>
      <c r="D628" s="189" t="str">
        <f ca="1">IFERROR(__xludf.DUMMYFUNCTION("""COMPUTED_VALUE"""),"B")</f>
        <v>B</v>
      </c>
      <c r="E628" s="189" t="str">
        <f ca="1">IFERROR(__xludf.DUMMYFUNCTION("""COMPUTED_VALUE"""),"J")</f>
        <v>J</v>
      </c>
      <c r="F628" s="189" t="str">
        <f ca="1">IFERROR(__xludf.DUMMYFUNCTION("""COMPUTED_VALUE"""),"I")</f>
        <v>I</v>
      </c>
      <c r="G628" s="189">
        <f ca="1">IFERROR(__xludf.DUMMYFUNCTION("""COMPUTED_VALUE"""),3)</f>
        <v>3</v>
      </c>
      <c r="H628" s="196" t="s">
        <v>262</v>
      </c>
      <c r="I628" s="196"/>
      <c r="J628" s="196" t="s">
        <v>29</v>
      </c>
      <c r="K628" s="196"/>
      <c r="L628" s="196" t="str">
        <v xml:space="preserve"> 67.45</v>
      </c>
      <c r="M628" s="196"/>
    </row>
    <row r="629" spans="1:13" ht="14.4" x14ac:dyDescent="0.3">
      <c r="A629" s="189" t="str">
        <f ca="1">IFERROR(__xludf.DUMMYFUNCTION("""COMPUTED_VALUE"""),"FS")</f>
        <v>FS</v>
      </c>
      <c r="B629" s="195" t="str">
        <f ca="1">IFERROR(__xludf.DUMMYFUNCTION("""COMPUTED_VALUE"""),"Teddy Anderson")</f>
        <v>Teddy Anderson</v>
      </c>
      <c r="C629" s="189">
        <f ca="1">IFERROR(__xludf.DUMMYFUNCTION("""COMPUTED_VALUE"""),12)</f>
        <v>12</v>
      </c>
      <c r="D629" s="189" t="str">
        <f ca="1">IFERROR(__xludf.DUMMYFUNCTION("""COMPUTED_VALUE"""),"B")</f>
        <v>B</v>
      </c>
      <c r="E629" s="189" t="str">
        <f ca="1">IFERROR(__xludf.DUMMYFUNCTION("""COMPUTED_VALUE"""),"J")</f>
        <v>J</v>
      </c>
      <c r="F629" s="189" t="str">
        <f ca="1">IFERROR(__xludf.DUMMYFUNCTION("""COMPUTED_VALUE"""),"I")</f>
        <v>I</v>
      </c>
      <c r="G629" s="189">
        <f ca="1">IFERROR(__xludf.DUMMYFUNCTION("""COMPUTED_VALUE"""),3)</f>
        <v>3</v>
      </c>
      <c r="H629" s="196" t="s">
        <v>263</v>
      </c>
      <c r="I629" s="196"/>
      <c r="J629" s="196" t="s">
        <v>29</v>
      </c>
      <c r="K629" s="196"/>
      <c r="L629" s="196" t="str">
        <v xml:space="preserve"> 79.95</v>
      </c>
      <c r="M629" s="196"/>
    </row>
    <row r="630" spans="1:13" ht="14.4" x14ac:dyDescent="0.3">
      <c r="A630" s="189" t="str">
        <f ca="1">IFERROR(__xludf.DUMMYFUNCTION("""COMPUTED_VALUE"""),"FS")</f>
        <v>FS</v>
      </c>
      <c r="B630" s="195" t="str">
        <f ca="1">IFERROR(__xludf.DUMMYFUNCTION("""COMPUTED_VALUE"""),"Anamarie Harrison")</f>
        <v>Anamarie Harrison</v>
      </c>
      <c r="C630" s="189">
        <f ca="1">IFERROR(__xludf.DUMMYFUNCTION("""COMPUTED_VALUE"""),15)</f>
        <v>15</v>
      </c>
      <c r="D630" s="189" t="str">
        <f ca="1">IFERROR(__xludf.DUMMYFUNCTION("""COMPUTED_VALUE"""),"G")</f>
        <v>G</v>
      </c>
      <c r="E630" s="189" t="str">
        <f ca="1">IFERROR(__xludf.DUMMYFUNCTION("""COMPUTED_VALUE"""),"S")</f>
        <v>S</v>
      </c>
      <c r="F630" s="189" t="str">
        <f ca="1">IFERROR(__xludf.DUMMYFUNCTION("""COMPUTED_VALUE"""),"S")</f>
        <v>S</v>
      </c>
      <c r="G630" s="189">
        <f ca="1">IFERROR(__xludf.DUMMYFUNCTION("""COMPUTED_VALUE"""),3)</f>
        <v>3</v>
      </c>
      <c r="H630" s="196" t="s">
        <v>264</v>
      </c>
      <c r="I630" s="196"/>
      <c r="J630" s="196" t="s">
        <v>29</v>
      </c>
      <c r="K630" s="196"/>
      <c r="L630" s="196" t="str">
        <v xml:space="preserve"> 135.20</v>
      </c>
      <c r="M630" s="196"/>
    </row>
    <row r="631" spans="1:13" ht="14.4" x14ac:dyDescent="0.3">
      <c r="A631" s="189" t="str">
        <f ca="1">IFERROR(__xludf.DUMMYFUNCTION("""COMPUTED_VALUE"""),"FS")</f>
        <v>FS</v>
      </c>
      <c r="B631" s="195" t="str">
        <f ca="1">IFERROR(__xludf.DUMMYFUNCTION("""COMPUTED_VALUE"""),"Darcy Telleen")</f>
        <v>Darcy Telleen</v>
      </c>
      <c r="C631" s="189">
        <f ca="1">IFERROR(__xludf.DUMMYFUNCTION("""COMPUTED_VALUE"""),15)</f>
        <v>15</v>
      </c>
      <c r="D631" s="189" t="str">
        <f ca="1">IFERROR(__xludf.DUMMYFUNCTION("""COMPUTED_VALUE"""),"G")</f>
        <v>G</v>
      </c>
      <c r="E631" s="189" t="str">
        <f ca="1">IFERROR(__xludf.DUMMYFUNCTION("""COMPUTED_VALUE"""),"S")</f>
        <v>S</v>
      </c>
      <c r="F631" s="189" t="str">
        <f ca="1">IFERROR(__xludf.DUMMYFUNCTION("""COMPUTED_VALUE"""),"S")</f>
        <v>S</v>
      </c>
      <c r="G631" s="189">
        <f ca="1">IFERROR(__xludf.DUMMYFUNCTION("""COMPUTED_VALUE"""),3)</f>
        <v>3</v>
      </c>
      <c r="H631" s="196" t="s">
        <v>265</v>
      </c>
      <c r="I631" s="196"/>
      <c r="J631" s="196" t="s">
        <v>29</v>
      </c>
      <c r="K631" s="196"/>
      <c r="L631" s="196" t="str">
        <v xml:space="preserve"> 147.75</v>
      </c>
      <c r="M631" s="196"/>
    </row>
    <row r="632" spans="1:13" ht="14.4" x14ac:dyDescent="0.3">
      <c r="A632" s="189" t="str">
        <f ca="1">IFERROR(__xludf.DUMMYFUNCTION("""COMPUTED_VALUE"""),"FS")</f>
        <v>FS</v>
      </c>
      <c r="B632" s="195" t="str">
        <f ca="1">IFERROR(__xludf.DUMMYFUNCTION("""COMPUTED_VALUE"""),"Devyn Telleen")</f>
        <v>Devyn Telleen</v>
      </c>
      <c r="C632" s="189">
        <f ca="1">IFERROR(__xludf.DUMMYFUNCTION("""COMPUTED_VALUE"""),17)</f>
        <v>17</v>
      </c>
      <c r="D632" s="189" t="str">
        <f ca="1">IFERROR(__xludf.DUMMYFUNCTION("""COMPUTED_VALUE"""),"G")</f>
        <v>G</v>
      </c>
      <c r="E632" s="189" t="str">
        <f ca="1">IFERROR(__xludf.DUMMYFUNCTION("""COMPUTED_VALUE"""),"S")</f>
        <v>S</v>
      </c>
      <c r="F632" s="189" t="str">
        <f ca="1">IFERROR(__xludf.DUMMYFUNCTION("""COMPUTED_VALUE"""),"S")</f>
        <v>S</v>
      </c>
      <c r="G632" s="189">
        <f ca="1">IFERROR(__xludf.DUMMYFUNCTION("""COMPUTED_VALUE"""),3)</f>
        <v>3</v>
      </c>
      <c r="H632" s="196"/>
      <c r="I632" s="196"/>
      <c r="J632" s="196"/>
      <c r="K632" s="196"/>
      <c r="L632" s="196" t="str">
        <v/>
      </c>
      <c r="M632" s="196"/>
    </row>
    <row r="633" spans="1:13" ht="14.4" x14ac:dyDescent="0.3">
      <c r="A633" s="189" t="str">
        <f ca="1">IFERROR(__xludf.DUMMYFUNCTION("""COMPUTED_VALUE"""),"FS")</f>
        <v>FS</v>
      </c>
      <c r="B633" s="195" t="str">
        <f ca="1">IFERROR(__xludf.DUMMYFUNCTION("""COMPUTED_VALUE"""),"Julie Isaac")</f>
        <v>Julie Isaac</v>
      </c>
      <c r="C633" s="189">
        <f ca="1">IFERROR(__xludf.DUMMYFUNCTION("""COMPUTED_VALUE"""),16)</f>
        <v>16</v>
      </c>
      <c r="D633" s="189" t="str">
        <f ca="1">IFERROR(__xludf.DUMMYFUNCTION("""COMPUTED_VALUE"""),"G")</f>
        <v>G</v>
      </c>
      <c r="E633" s="189" t="str">
        <f ca="1">IFERROR(__xludf.DUMMYFUNCTION("""COMPUTED_VALUE"""),"S")</f>
        <v>S</v>
      </c>
      <c r="F633" s="189" t="str">
        <f ca="1">IFERROR(__xludf.DUMMYFUNCTION("""COMPUTED_VALUE"""),"S")</f>
        <v>S</v>
      </c>
      <c r="G633" s="189">
        <f ca="1">IFERROR(__xludf.DUMMYFUNCTION("""COMPUTED_VALUE"""),3)</f>
        <v>3</v>
      </c>
      <c r="H633" s="196"/>
      <c r="I633" s="196"/>
      <c r="J633" s="196"/>
      <c r="K633" s="196"/>
      <c r="L633" s="196" t="str">
        <v/>
      </c>
      <c r="M633" s="196"/>
    </row>
    <row r="634" spans="1:13" ht="14.4" x14ac:dyDescent="0.3">
      <c r="A634" s="189" t="str">
        <f ca="1">IFERROR(__xludf.DUMMYFUNCTION("""COMPUTED_VALUE"""),"FS")</f>
        <v>FS</v>
      </c>
      <c r="B634" s="195" t="str">
        <f ca="1">IFERROR(__xludf.DUMMYFUNCTION("""COMPUTED_VALUE"""),"Talya Wright")</f>
        <v>Talya Wright</v>
      </c>
      <c r="C634" s="189">
        <f ca="1">IFERROR(__xludf.DUMMYFUNCTION("""COMPUTED_VALUE"""),15)</f>
        <v>15</v>
      </c>
      <c r="D634" s="189" t="str">
        <f ca="1">IFERROR(__xludf.DUMMYFUNCTION("""COMPUTED_VALUE"""),"G")</f>
        <v>G</v>
      </c>
      <c r="E634" s="189" t="str">
        <f ca="1">IFERROR(__xludf.DUMMYFUNCTION("""COMPUTED_VALUE"""),"S")</f>
        <v>S</v>
      </c>
      <c r="F634" s="189" t="str">
        <f ca="1">IFERROR(__xludf.DUMMYFUNCTION("""COMPUTED_VALUE"""),"S")</f>
        <v>S</v>
      </c>
      <c r="G634" s="189">
        <f ca="1">IFERROR(__xludf.DUMMYFUNCTION("""COMPUTED_VALUE"""),3)</f>
        <v>3</v>
      </c>
      <c r="H634" s="196"/>
      <c r="I634" s="196"/>
      <c r="J634" s="196"/>
      <c r="K634" s="196"/>
      <c r="L634" s="196" t="str">
        <v/>
      </c>
      <c r="M634" s="196"/>
    </row>
    <row r="635" spans="1:13" ht="14.4" x14ac:dyDescent="0.3">
      <c r="A635" s="189" t="str">
        <f ca="1">IFERROR(__xludf.DUMMYFUNCTION("""COMPUTED_VALUE"""),"FS")</f>
        <v>FS</v>
      </c>
      <c r="B635" s="195" t="str">
        <f ca="1">IFERROR(__xludf.DUMMYFUNCTION("""COMPUTED_VALUE"""),"Tavi Mohammed")</f>
        <v>Tavi Mohammed</v>
      </c>
      <c r="C635" s="189">
        <f ca="1">IFERROR(__xludf.DUMMYFUNCTION("""COMPUTED_VALUE"""),17)</f>
        <v>17</v>
      </c>
      <c r="D635" s="189" t="str">
        <f ca="1">IFERROR(__xludf.DUMMYFUNCTION("""COMPUTED_VALUE"""),"G")</f>
        <v>G</v>
      </c>
      <c r="E635" s="189" t="str">
        <f ca="1">IFERROR(__xludf.DUMMYFUNCTION("""COMPUTED_VALUE"""),"S")</f>
        <v>S</v>
      </c>
      <c r="F635" s="189" t="str">
        <f ca="1">IFERROR(__xludf.DUMMYFUNCTION("""COMPUTED_VALUE"""),"S")</f>
        <v>S</v>
      </c>
      <c r="G635" s="189">
        <f ca="1">IFERROR(__xludf.DUMMYFUNCTION("""COMPUTED_VALUE"""),3)</f>
        <v>3</v>
      </c>
      <c r="H635" s="196" t="s">
        <v>266</v>
      </c>
      <c r="I635" s="196"/>
      <c r="J635" s="196" t="s">
        <v>29</v>
      </c>
      <c r="K635" s="196"/>
      <c r="L635" s="196" t="str">
        <v xml:space="preserve"> 113.20</v>
      </c>
      <c r="M635" s="196"/>
    </row>
    <row r="636" spans="1:13" ht="14.4" x14ac:dyDescent="0.3">
      <c r="A636" s="189" t="str">
        <f ca="1">IFERROR(__xludf.DUMMYFUNCTION("""COMPUTED_VALUE"""),"FS")</f>
        <v>FS</v>
      </c>
      <c r="B636" s="195" t="str">
        <f ca="1">IFERROR(__xludf.DUMMYFUNCTION("""COMPUTED_VALUE"""),"Milo Feller")</f>
        <v>Milo Feller</v>
      </c>
      <c r="C636" s="189">
        <f ca="1">IFERROR(__xludf.DUMMYFUNCTION("""COMPUTED_VALUE"""),16)</f>
        <v>16</v>
      </c>
      <c r="D636" s="189" t="str">
        <f ca="1">IFERROR(__xludf.DUMMYFUNCTION("""COMPUTED_VALUE"""),"B")</f>
        <v>B</v>
      </c>
      <c r="E636" s="189" t="str">
        <f ca="1">IFERROR(__xludf.DUMMYFUNCTION("""COMPUTED_VALUE"""),"S")</f>
        <v>S</v>
      </c>
      <c r="F636" s="189" t="str">
        <f ca="1">IFERROR(__xludf.DUMMYFUNCTION("""COMPUTED_VALUE"""),"S")</f>
        <v>S</v>
      </c>
      <c r="G636" s="189">
        <f ca="1">IFERROR(__xludf.DUMMYFUNCTION("""COMPUTED_VALUE"""),3)</f>
        <v>3</v>
      </c>
      <c r="H636" s="196" t="s">
        <v>267</v>
      </c>
      <c r="I636" s="196"/>
      <c r="J636" s="196" t="s">
        <v>29</v>
      </c>
      <c r="K636" s="196"/>
      <c r="L636" s="196" t="str">
        <v xml:space="preserve"> 58.80</v>
      </c>
      <c r="M636" s="196"/>
    </row>
    <row r="637" spans="1:13" ht="14.4" x14ac:dyDescent="0.3">
      <c r="A637" s="189" t="str">
        <f ca="1">IFERROR(__xludf.DUMMYFUNCTION("""COMPUTED_VALUE"""),"FS")</f>
        <v>FS</v>
      </c>
      <c r="B637" s="195" t="str">
        <f ca="1">IFERROR(__xludf.DUMMYFUNCTION("""COMPUTED_VALUE"""),"Trey Telleen")</f>
        <v>Trey Telleen</v>
      </c>
      <c r="C637" s="189">
        <f ca="1">IFERROR(__xludf.DUMMYFUNCTION("""COMPUTED_VALUE"""),18)</f>
        <v>18</v>
      </c>
      <c r="D637" s="189" t="str">
        <f ca="1">IFERROR(__xludf.DUMMYFUNCTION("""COMPUTED_VALUE"""),"B")</f>
        <v>B</v>
      </c>
      <c r="E637" s="189" t="str">
        <f ca="1">IFERROR(__xludf.DUMMYFUNCTION("""COMPUTED_VALUE"""),"S")</f>
        <v>S</v>
      </c>
      <c r="F637" s="189" t="str">
        <f ca="1">IFERROR(__xludf.DUMMYFUNCTION("""COMPUTED_VALUE"""),"S")</f>
        <v>S</v>
      </c>
      <c r="G637" s="189">
        <f ca="1">IFERROR(__xludf.DUMMYFUNCTION("""COMPUTED_VALUE"""),3)</f>
        <v>3</v>
      </c>
      <c r="H637" s="196" t="s">
        <v>268</v>
      </c>
      <c r="I637" s="196"/>
      <c r="J637" s="196" t="s">
        <v>29</v>
      </c>
      <c r="K637" s="196"/>
      <c r="L637" s="196" t="str">
        <v xml:space="preserve"> 225.45</v>
      </c>
      <c r="M637" s="196"/>
    </row>
    <row r="638" spans="1:13" ht="14.4" x14ac:dyDescent="0.3">
      <c r="A638" s="189" t="str">
        <f ca="1">IFERROR(__xludf.DUMMYFUNCTION("""COMPUTED_VALUE"""),"G")</f>
        <v>G</v>
      </c>
      <c r="B638" s="195" t="str">
        <f ca="1">IFERROR(__xludf.DUMMYFUNCTION("""COMPUTED_VALUE"""),"Anika Chaturvedi")</f>
        <v>Anika Chaturvedi</v>
      </c>
      <c r="C638" s="189">
        <f ca="1">IFERROR(__xludf.DUMMYFUNCTION("""COMPUTED_VALUE"""),6)</f>
        <v>6</v>
      </c>
      <c r="D638" s="189" t="str">
        <f ca="1">IFERROR(__xludf.DUMMYFUNCTION("""COMPUTED_VALUE"""),"G")</f>
        <v>G</v>
      </c>
      <c r="E638" s="189" t="str">
        <f ca="1">IFERROR(__xludf.DUMMYFUNCTION("""COMPUTED_VALUE"""),"F")</f>
        <v>F</v>
      </c>
      <c r="F638" s="189" t="str">
        <f ca="1">IFERROR(__xludf.DUMMYFUNCTION("""COMPUTED_VALUE"""),"J")</f>
        <v>J</v>
      </c>
      <c r="G638" s="189">
        <f ca="1">IFERROR(__xludf.DUMMYFUNCTION("""COMPUTED_VALUE"""),3)</f>
        <v>3</v>
      </c>
      <c r="H638" s="196"/>
      <c r="I638" s="196"/>
      <c r="J638" s="196"/>
      <c r="K638" s="196"/>
      <c r="L638" s="196" t="str">
        <v/>
      </c>
      <c r="M638" s="196"/>
    </row>
    <row r="639" spans="1:13" ht="14.4" x14ac:dyDescent="0.3">
      <c r="A639" s="189" t="str">
        <f ca="1">IFERROR(__xludf.DUMMYFUNCTION("""COMPUTED_VALUE"""),"G")</f>
        <v>G</v>
      </c>
      <c r="B639" s="195" t="str">
        <f ca="1">IFERROR(__xludf.DUMMYFUNCTION("""COMPUTED_VALUE"""),"Ingrid Lander")</f>
        <v>Ingrid Lander</v>
      </c>
      <c r="C639" s="189">
        <f ca="1">IFERROR(__xludf.DUMMYFUNCTION("""COMPUTED_VALUE"""),8)</f>
        <v>8</v>
      </c>
      <c r="D639" s="189" t="str">
        <f ca="1">IFERROR(__xludf.DUMMYFUNCTION("""COMPUTED_VALUE"""),"G")</f>
        <v>G</v>
      </c>
      <c r="E639" s="189" t="str">
        <f ca="1">IFERROR(__xludf.DUMMYFUNCTION("""COMPUTED_VALUE"""),"F")</f>
        <v>F</v>
      </c>
      <c r="F639" s="189" t="str">
        <f ca="1">IFERROR(__xludf.DUMMYFUNCTION("""COMPUTED_VALUE"""),"J")</f>
        <v>J</v>
      </c>
      <c r="G639" s="189">
        <f ca="1">IFERROR(__xludf.DUMMYFUNCTION("""COMPUTED_VALUE"""),3)</f>
        <v>3</v>
      </c>
      <c r="H639" s="196" t="s">
        <v>269</v>
      </c>
      <c r="I639" s="196"/>
      <c r="J639" s="196" t="s">
        <v>29</v>
      </c>
      <c r="K639" s="196"/>
      <c r="L639" s="196" t="str">
        <v xml:space="preserve"> 60.70</v>
      </c>
      <c r="M639" s="196"/>
    </row>
    <row r="640" spans="1:13" ht="14.4" x14ac:dyDescent="0.3">
      <c r="A640" s="189" t="str">
        <f ca="1">IFERROR(__xludf.DUMMYFUNCTION("""COMPUTED_VALUE"""),"G")</f>
        <v>G</v>
      </c>
      <c r="B640" s="195" t="str">
        <f ca="1">IFERROR(__xludf.DUMMYFUNCTION("""COMPUTED_VALUE"""),"Jenny Pietras")</f>
        <v>Jenny Pietras</v>
      </c>
      <c r="C640" s="189">
        <f ca="1">IFERROR(__xludf.DUMMYFUNCTION("""COMPUTED_VALUE"""),8)</f>
        <v>8</v>
      </c>
      <c r="D640" s="189" t="str">
        <f ca="1">IFERROR(__xludf.DUMMYFUNCTION("""COMPUTED_VALUE"""),"G")</f>
        <v>G</v>
      </c>
      <c r="E640" s="189" t="str">
        <f ca="1">IFERROR(__xludf.DUMMYFUNCTION("""COMPUTED_VALUE"""),"F")</f>
        <v>F</v>
      </c>
      <c r="F640" s="189" t="str">
        <f ca="1">IFERROR(__xludf.DUMMYFUNCTION("""COMPUTED_VALUE"""),"J")</f>
        <v>J</v>
      </c>
      <c r="G640" s="189">
        <f ca="1">IFERROR(__xludf.DUMMYFUNCTION("""COMPUTED_VALUE"""),3)</f>
        <v>3</v>
      </c>
      <c r="H640" s="196"/>
      <c r="I640" s="196"/>
      <c r="J640" s="196"/>
      <c r="K640" s="196"/>
      <c r="L640" s="196" t="str">
        <v/>
      </c>
      <c r="M640" s="196"/>
    </row>
    <row r="641" spans="1:13" ht="14.4" x14ac:dyDescent="0.3">
      <c r="A641" s="189" t="str">
        <f ca="1">IFERROR(__xludf.DUMMYFUNCTION("""COMPUTED_VALUE"""),"G")</f>
        <v>G</v>
      </c>
      <c r="B641" s="195" t="str">
        <f ca="1">IFERROR(__xludf.DUMMYFUNCTION("""COMPUTED_VALUE"""),"Lacey Niedzialek")</f>
        <v>Lacey Niedzialek</v>
      </c>
      <c r="C641" s="189">
        <f ca="1">IFERROR(__xludf.DUMMYFUNCTION("""COMPUTED_VALUE"""),8)</f>
        <v>8</v>
      </c>
      <c r="D641" s="189" t="str">
        <f ca="1">IFERROR(__xludf.DUMMYFUNCTION("""COMPUTED_VALUE"""),"G")</f>
        <v>G</v>
      </c>
      <c r="E641" s="189" t="str">
        <f ca="1">IFERROR(__xludf.DUMMYFUNCTION("""COMPUTED_VALUE"""),"F")</f>
        <v>F</v>
      </c>
      <c r="F641" s="189" t="str">
        <f ca="1">IFERROR(__xludf.DUMMYFUNCTION("""COMPUTED_VALUE"""),"J")</f>
        <v>J</v>
      </c>
      <c r="G641" s="189">
        <f ca="1">IFERROR(__xludf.DUMMYFUNCTION("""COMPUTED_VALUE"""),3)</f>
        <v>3</v>
      </c>
      <c r="H641" s="196"/>
      <c r="I641" s="196"/>
      <c r="J641" s="196"/>
      <c r="K641" s="196"/>
      <c r="L641" s="196" t="str">
        <v/>
      </c>
      <c r="M641" s="196"/>
    </row>
    <row r="642" spans="1:13" ht="14.4" x14ac:dyDescent="0.3">
      <c r="A642" s="189" t="str">
        <f ca="1">IFERROR(__xludf.DUMMYFUNCTION("""COMPUTED_VALUE"""),"G")</f>
        <v>G</v>
      </c>
      <c r="B642" s="195" t="str">
        <f ca="1">IFERROR(__xludf.DUMMYFUNCTION("""COMPUTED_VALUE"""),"Margaret Grogan")</f>
        <v>Margaret Grogan</v>
      </c>
      <c r="C642" s="189">
        <f ca="1">IFERROR(__xludf.DUMMYFUNCTION("""COMPUTED_VALUE"""),10)</f>
        <v>10</v>
      </c>
      <c r="D642" s="189" t="str">
        <f ca="1">IFERROR(__xludf.DUMMYFUNCTION("""COMPUTED_VALUE"""),"G")</f>
        <v>G</v>
      </c>
      <c r="E642" s="189" t="str">
        <f ca="1">IFERROR(__xludf.DUMMYFUNCTION("""COMPUTED_VALUE"""),"F")</f>
        <v>F</v>
      </c>
      <c r="F642" s="189" t="str">
        <f ca="1">IFERROR(__xludf.DUMMYFUNCTION("""COMPUTED_VALUE"""),"J")</f>
        <v>J</v>
      </c>
      <c r="G642" s="189">
        <f ca="1">IFERROR(__xludf.DUMMYFUNCTION("""COMPUTED_VALUE"""),3)</f>
        <v>3</v>
      </c>
      <c r="H642" s="196" t="s">
        <v>270</v>
      </c>
      <c r="I642" s="196"/>
      <c r="J642" s="196" t="s">
        <v>29</v>
      </c>
      <c r="K642" s="196"/>
      <c r="L642" s="196" t="str">
        <v xml:space="preserve"> 33.60</v>
      </c>
      <c r="M642" s="196"/>
    </row>
    <row r="643" spans="1:13" ht="14.4" x14ac:dyDescent="0.3">
      <c r="A643" s="189" t="str">
        <f ca="1">IFERROR(__xludf.DUMMYFUNCTION("""COMPUTED_VALUE"""),"G")</f>
        <v>G</v>
      </c>
      <c r="B643" s="195" t="str">
        <f ca="1">IFERROR(__xludf.DUMMYFUNCTION("""COMPUTED_VALUE"""),"Nora Ismailova")</f>
        <v>Nora Ismailova</v>
      </c>
      <c r="C643" s="189">
        <f ca="1">IFERROR(__xludf.DUMMYFUNCTION("""COMPUTED_VALUE"""),7)</f>
        <v>7</v>
      </c>
      <c r="D643" s="189" t="str">
        <f ca="1">IFERROR(__xludf.DUMMYFUNCTION("""COMPUTED_VALUE"""),"G")</f>
        <v>G</v>
      </c>
      <c r="E643" s="189" t="str">
        <f ca="1">IFERROR(__xludf.DUMMYFUNCTION("""COMPUTED_VALUE"""),"F")</f>
        <v>F</v>
      </c>
      <c r="F643" s="189" t="str">
        <f ca="1">IFERROR(__xludf.DUMMYFUNCTION("""COMPUTED_VALUE"""),"J")</f>
        <v>J</v>
      </c>
      <c r="G643" s="189">
        <f ca="1">IFERROR(__xludf.DUMMYFUNCTION("""COMPUTED_VALUE"""),3)</f>
        <v>3</v>
      </c>
      <c r="H643" s="196"/>
      <c r="I643" s="196"/>
      <c r="J643" s="196"/>
      <c r="K643" s="196"/>
      <c r="L643" s="196" t="str">
        <v/>
      </c>
      <c r="M643" s="196"/>
    </row>
    <row r="644" spans="1:13" ht="14.4" x14ac:dyDescent="0.3">
      <c r="A644" s="189" t="str">
        <f ca="1">IFERROR(__xludf.DUMMYFUNCTION("""COMPUTED_VALUE"""),"G")</f>
        <v>G</v>
      </c>
      <c r="B644" s="195" t="str">
        <f ca="1">IFERROR(__xludf.DUMMYFUNCTION("""COMPUTED_VALUE"""),"Penny Fairchild")</f>
        <v>Penny Fairchild</v>
      </c>
      <c r="C644" s="189">
        <f ca="1">IFERROR(__xludf.DUMMYFUNCTION("""COMPUTED_VALUE"""),9)</f>
        <v>9</v>
      </c>
      <c r="D644" s="189" t="str">
        <f ca="1">IFERROR(__xludf.DUMMYFUNCTION("""COMPUTED_VALUE"""),"G")</f>
        <v>G</v>
      </c>
      <c r="E644" s="189" t="str">
        <f ca="1">IFERROR(__xludf.DUMMYFUNCTION("""COMPUTED_VALUE"""),"F")</f>
        <v>F</v>
      </c>
      <c r="F644" s="189" t="str">
        <f ca="1">IFERROR(__xludf.DUMMYFUNCTION("""COMPUTED_VALUE"""),"J")</f>
        <v>J</v>
      </c>
      <c r="G644" s="189">
        <f ca="1">IFERROR(__xludf.DUMMYFUNCTION("""COMPUTED_VALUE"""),3)</f>
        <v>3</v>
      </c>
      <c r="H644" s="196"/>
      <c r="I644" s="196"/>
      <c r="J644" s="196"/>
      <c r="K644" s="196"/>
      <c r="L644" s="196" t="str">
        <v/>
      </c>
      <c r="M644" s="196"/>
    </row>
    <row r="645" spans="1:13" ht="14.4" x14ac:dyDescent="0.3">
      <c r="A645" s="189" t="str">
        <f ca="1">IFERROR(__xludf.DUMMYFUNCTION("""COMPUTED_VALUE"""),"G")</f>
        <v>G</v>
      </c>
      <c r="B645" s="195" t="str">
        <f ca="1">IFERROR(__xludf.DUMMYFUNCTION("""COMPUTED_VALUE"""),"Sloane Dosch")</f>
        <v>Sloane Dosch</v>
      </c>
      <c r="C645" s="189">
        <f ca="1">IFERROR(__xludf.DUMMYFUNCTION("""COMPUTED_VALUE"""),10)</f>
        <v>10</v>
      </c>
      <c r="D645" s="189" t="str">
        <f ca="1">IFERROR(__xludf.DUMMYFUNCTION("""COMPUTED_VALUE"""),"G")</f>
        <v>G</v>
      </c>
      <c r="E645" s="189" t="str">
        <f ca="1">IFERROR(__xludf.DUMMYFUNCTION("""COMPUTED_VALUE"""),"F")</f>
        <v>F</v>
      </c>
      <c r="F645" s="189" t="str">
        <f ca="1">IFERROR(__xludf.DUMMYFUNCTION("""COMPUTED_VALUE"""),"J")</f>
        <v>J</v>
      </c>
      <c r="G645" s="189">
        <f ca="1">IFERROR(__xludf.DUMMYFUNCTION("""COMPUTED_VALUE"""),3)</f>
        <v>3</v>
      </c>
      <c r="H645" s="196"/>
      <c r="I645" s="196"/>
      <c r="J645" s="196"/>
      <c r="K645" s="196"/>
      <c r="L645" s="196" t="str">
        <v/>
      </c>
      <c r="M645" s="196"/>
    </row>
    <row r="646" spans="1:13" ht="14.4" x14ac:dyDescent="0.3">
      <c r="A646" s="189" t="str">
        <f ca="1">IFERROR(__xludf.DUMMYFUNCTION("""COMPUTED_VALUE"""),"G")</f>
        <v>G</v>
      </c>
      <c r="B646" s="195" t="str">
        <f ca="1">IFERROR(__xludf.DUMMYFUNCTION("""COMPUTED_VALUE"""),"Aayush Chaturvedi")</f>
        <v>Aayush Chaturvedi</v>
      </c>
      <c r="C646" s="189">
        <f ca="1">IFERROR(__xludf.DUMMYFUNCTION("""COMPUTED_VALUE"""),9)</f>
        <v>9</v>
      </c>
      <c r="D646" s="189" t="str">
        <f ca="1">IFERROR(__xludf.DUMMYFUNCTION("""COMPUTED_VALUE"""),"B")</f>
        <v>B</v>
      </c>
      <c r="E646" s="189" t="str">
        <f ca="1">IFERROR(__xludf.DUMMYFUNCTION("""COMPUTED_VALUE"""),"F")</f>
        <v>F</v>
      </c>
      <c r="F646" s="189" t="str">
        <f ca="1">IFERROR(__xludf.DUMMYFUNCTION("""COMPUTED_VALUE"""),"J")</f>
        <v>J</v>
      </c>
      <c r="G646" s="189">
        <f ca="1">IFERROR(__xludf.DUMMYFUNCTION("""COMPUTED_VALUE"""),3)</f>
        <v>3</v>
      </c>
      <c r="H646" s="196"/>
      <c r="I646" s="196"/>
      <c r="J646" s="196"/>
      <c r="K646" s="196"/>
      <c r="L646" s="196" t="str">
        <v/>
      </c>
      <c r="M646" s="196"/>
    </row>
    <row r="647" spans="1:13" ht="14.4" x14ac:dyDescent="0.3">
      <c r="A647" s="189" t="str">
        <f ca="1">IFERROR(__xludf.DUMMYFUNCTION("""COMPUTED_VALUE"""),"G")</f>
        <v>G</v>
      </c>
      <c r="B647" s="195" t="str">
        <f ca="1">IFERROR(__xludf.DUMMYFUNCTION("""COMPUTED_VALUE"""),"Jack Casterline")</f>
        <v>Jack Casterline</v>
      </c>
      <c r="C647" s="189">
        <f ca="1">IFERROR(__xludf.DUMMYFUNCTION("""COMPUTED_VALUE"""),10)</f>
        <v>10</v>
      </c>
      <c r="D647" s="189" t="str">
        <f ca="1">IFERROR(__xludf.DUMMYFUNCTION("""COMPUTED_VALUE"""),"B")</f>
        <v>B</v>
      </c>
      <c r="E647" s="189" t="str">
        <f ca="1">IFERROR(__xludf.DUMMYFUNCTION("""COMPUTED_VALUE"""),"F")</f>
        <v>F</v>
      </c>
      <c r="F647" s="189" t="str">
        <f ca="1">IFERROR(__xludf.DUMMYFUNCTION("""COMPUTED_VALUE"""),"J")</f>
        <v>J</v>
      </c>
      <c r="G647" s="189">
        <f ca="1">IFERROR(__xludf.DUMMYFUNCTION("""COMPUTED_VALUE"""),3)</f>
        <v>3</v>
      </c>
      <c r="H647" s="196" t="s">
        <v>271</v>
      </c>
      <c r="I647" s="196"/>
      <c r="J647" s="196" t="s">
        <v>29</v>
      </c>
      <c r="K647" s="196"/>
      <c r="L647" s="196" t="str">
        <v xml:space="preserve"> 29.55</v>
      </c>
      <c r="M647" s="196"/>
    </row>
    <row r="648" spans="1:13" ht="14.4" x14ac:dyDescent="0.3">
      <c r="A648" s="189" t="str">
        <f ca="1">IFERROR(__xludf.DUMMYFUNCTION("""COMPUTED_VALUE"""),"G")</f>
        <v>G</v>
      </c>
      <c r="B648" s="195" t="str">
        <f ca="1">IFERROR(__xludf.DUMMYFUNCTION("""COMPUTED_VALUE"""),"Sage Smyth")</f>
        <v>Sage Smyth</v>
      </c>
      <c r="C648" s="189">
        <f ca="1">IFERROR(__xludf.DUMMYFUNCTION("""COMPUTED_VALUE"""),14)</f>
        <v>14</v>
      </c>
      <c r="D648" s="189" t="str">
        <f ca="1">IFERROR(__xludf.DUMMYFUNCTION("""COMPUTED_VALUE"""),"G")</f>
        <v>G</v>
      </c>
      <c r="E648" s="189" t="str">
        <f ca="1">IFERROR(__xludf.DUMMYFUNCTION("""COMPUTED_VALUE"""),"I")</f>
        <v>I</v>
      </c>
      <c r="F648" s="189" t="str">
        <f ca="1">IFERROR(__xludf.DUMMYFUNCTION("""COMPUTED_VALUE"""),"S")</f>
        <v>S</v>
      </c>
      <c r="G648" s="189">
        <f ca="1">IFERROR(__xludf.DUMMYFUNCTION("""COMPUTED_VALUE"""),3)</f>
        <v>3</v>
      </c>
      <c r="H648" s="196"/>
      <c r="I648" s="196"/>
      <c r="J648" s="196"/>
      <c r="K648" s="196"/>
      <c r="L648" s="196" t="str">
        <v/>
      </c>
      <c r="M648" s="196"/>
    </row>
    <row r="649" spans="1:13" ht="14.4" x14ac:dyDescent="0.3">
      <c r="A649" s="189" t="str">
        <f ca="1">IFERROR(__xludf.DUMMYFUNCTION("""COMPUTED_VALUE"""),"G")</f>
        <v>G</v>
      </c>
      <c r="B649" s="195" t="str">
        <f ca="1">IFERROR(__xludf.DUMMYFUNCTION("""COMPUTED_VALUE"""),"Simone Feil")</f>
        <v>Simone Feil</v>
      </c>
      <c r="C649" s="189">
        <f ca="1">IFERROR(__xludf.DUMMYFUNCTION("""COMPUTED_VALUE"""),13)</f>
        <v>13</v>
      </c>
      <c r="D649" s="189" t="str">
        <f ca="1">IFERROR(__xludf.DUMMYFUNCTION("""COMPUTED_VALUE"""),"G")</f>
        <v>G</v>
      </c>
      <c r="E649" s="189" t="str">
        <f ca="1">IFERROR(__xludf.DUMMYFUNCTION("""COMPUTED_VALUE"""),"I")</f>
        <v>I</v>
      </c>
      <c r="F649" s="189" t="str">
        <f ca="1">IFERROR(__xludf.DUMMYFUNCTION("""COMPUTED_VALUE"""),"S")</f>
        <v>S</v>
      </c>
      <c r="G649" s="189">
        <f ca="1">IFERROR(__xludf.DUMMYFUNCTION("""COMPUTED_VALUE"""),3)</f>
        <v>3</v>
      </c>
      <c r="H649" s="196" t="s">
        <v>272</v>
      </c>
      <c r="I649" s="196"/>
      <c r="J649" s="196" t="s">
        <v>29</v>
      </c>
      <c r="K649" s="196"/>
      <c r="L649" s="196" t="str">
        <v xml:space="preserve"> 112.10</v>
      </c>
      <c r="M649" s="196"/>
    </row>
    <row r="650" spans="1:13" ht="14.4" x14ac:dyDescent="0.3">
      <c r="A650" s="189" t="str">
        <f ca="1">IFERROR(__xludf.DUMMYFUNCTION("""COMPUTED_VALUE"""),"G")</f>
        <v>G</v>
      </c>
      <c r="B650" s="195" t="str">
        <f ca="1">IFERROR(__xludf.DUMMYFUNCTION("""COMPUTED_VALUE"""),"Sloane Wayment")</f>
        <v>Sloane Wayment</v>
      </c>
      <c r="C650" s="189">
        <f ca="1">IFERROR(__xludf.DUMMYFUNCTION("""COMPUTED_VALUE"""),13)</f>
        <v>13</v>
      </c>
      <c r="D650" s="189" t="str">
        <f ca="1">IFERROR(__xludf.DUMMYFUNCTION("""COMPUTED_VALUE"""),"G")</f>
        <v>G</v>
      </c>
      <c r="E650" s="189" t="str">
        <f ca="1">IFERROR(__xludf.DUMMYFUNCTION("""COMPUTED_VALUE"""),"I")</f>
        <v>I</v>
      </c>
      <c r="F650" s="189" t="str">
        <f ca="1">IFERROR(__xludf.DUMMYFUNCTION("""COMPUTED_VALUE"""),"S")</f>
        <v>S</v>
      </c>
      <c r="G650" s="189">
        <f ca="1">IFERROR(__xludf.DUMMYFUNCTION("""COMPUTED_VALUE"""),3)</f>
        <v>3</v>
      </c>
      <c r="H650" s="196" t="s">
        <v>273</v>
      </c>
      <c r="I650" s="196"/>
      <c r="J650" s="196" t="s">
        <v>29</v>
      </c>
      <c r="K650" s="196"/>
      <c r="L650" s="196" t="str">
        <v xml:space="preserve"> 116.20</v>
      </c>
      <c r="M650" s="196"/>
    </row>
    <row r="651" spans="1:13" ht="14.4" x14ac:dyDescent="0.3">
      <c r="A651" s="189" t="str">
        <f ca="1">IFERROR(__xludf.DUMMYFUNCTION("""COMPUTED_VALUE"""),"G")</f>
        <v>G</v>
      </c>
      <c r="B651" s="195" t="str">
        <f ca="1">IFERROR(__xludf.DUMMYFUNCTION("""COMPUTED_VALUE"""),"Anna Goodell")</f>
        <v>Anna Goodell</v>
      </c>
      <c r="C651" s="189">
        <f ca="1">IFERROR(__xludf.DUMMYFUNCTION("""COMPUTED_VALUE"""),11)</f>
        <v>11</v>
      </c>
      <c r="D651" s="189" t="str">
        <f ca="1">IFERROR(__xludf.DUMMYFUNCTION("""COMPUTED_VALUE"""),"G")</f>
        <v>G</v>
      </c>
      <c r="E651" s="189" t="str">
        <f ca="1">IFERROR(__xludf.DUMMYFUNCTION("""COMPUTED_VALUE"""),"J")</f>
        <v>J</v>
      </c>
      <c r="F651" s="189" t="str">
        <f ca="1">IFERROR(__xludf.DUMMYFUNCTION("""COMPUTED_VALUE"""),"I")</f>
        <v>I</v>
      </c>
      <c r="G651" s="189">
        <f ca="1">IFERROR(__xludf.DUMMYFUNCTION("""COMPUTED_VALUE"""),3)</f>
        <v>3</v>
      </c>
      <c r="H651" s="196" t="s">
        <v>274</v>
      </c>
      <c r="I651" s="196"/>
      <c r="J651" s="196" t="s">
        <v>29</v>
      </c>
      <c r="K651" s="196"/>
      <c r="L651" s="196" t="str">
        <v xml:space="preserve"> 58.75</v>
      </c>
      <c r="M651" s="196"/>
    </row>
    <row r="652" spans="1:13" ht="14.4" x14ac:dyDescent="0.3">
      <c r="A652" s="189" t="str">
        <f ca="1">IFERROR(__xludf.DUMMYFUNCTION("""COMPUTED_VALUE"""),"G")</f>
        <v>G</v>
      </c>
      <c r="B652" s="195" t="str">
        <f ca="1">IFERROR(__xludf.DUMMYFUNCTION("""COMPUTED_VALUE"""),"Casimira Betz")</f>
        <v>Casimira Betz</v>
      </c>
      <c r="C652" s="189">
        <f ca="1">IFERROR(__xludf.DUMMYFUNCTION("""COMPUTED_VALUE"""),12)</f>
        <v>12</v>
      </c>
      <c r="D652" s="189" t="str">
        <f ca="1">IFERROR(__xludf.DUMMYFUNCTION("""COMPUTED_VALUE"""),"G")</f>
        <v>G</v>
      </c>
      <c r="E652" s="189" t="str">
        <f ca="1">IFERROR(__xludf.DUMMYFUNCTION("""COMPUTED_VALUE"""),"J")</f>
        <v>J</v>
      </c>
      <c r="F652" s="189" t="str">
        <f ca="1">IFERROR(__xludf.DUMMYFUNCTION("""COMPUTED_VALUE"""),"I")</f>
        <v>I</v>
      </c>
      <c r="G652" s="189">
        <f ca="1">IFERROR(__xludf.DUMMYFUNCTION("""COMPUTED_VALUE"""),3)</f>
        <v>3</v>
      </c>
      <c r="H652" s="196" t="s">
        <v>275</v>
      </c>
      <c r="I652" s="196"/>
      <c r="J652" s="196" t="s">
        <v>29</v>
      </c>
      <c r="K652" s="196"/>
      <c r="L652" s="196" t="str">
        <v xml:space="preserve"> 81.50</v>
      </c>
      <c r="M652" s="196"/>
    </row>
    <row r="653" spans="1:13" ht="14.4" x14ac:dyDescent="0.3">
      <c r="A653" s="189" t="str">
        <f ca="1">IFERROR(__xludf.DUMMYFUNCTION("""COMPUTED_VALUE"""),"G")</f>
        <v>G</v>
      </c>
      <c r="B653" s="195" t="str">
        <f ca="1">IFERROR(__xludf.DUMMYFUNCTION("""COMPUTED_VALUE"""),"Emma Fricke")</f>
        <v>Emma Fricke</v>
      </c>
      <c r="C653" s="189">
        <f ca="1">IFERROR(__xludf.DUMMYFUNCTION("""COMPUTED_VALUE"""),12)</f>
        <v>12</v>
      </c>
      <c r="D653" s="189" t="str">
        <f ca="1">IFERROR(__xludf.DUMMYFUNCTION("""COMPUTED_VALUE"""),"G")</f>
        <v>G</v>
      </c>
      <c r="E653" s="189" t="str">
        <f ca="1">IFERROR(__xludf.DUMMYFUNCTION("""COMPUTED_VALUE"""),"J")</f>
        <v>J</v>
      </c>
      <c r="F653" s="189" t="str">
        <f ca="1">IFERROR(__xludf.DUMMYFUNCTION("""COMPUTED_VALUE"""),"I")</f>
        <v>I</v>
      </c>
      <c r="G653" s="189">
        <f ca="1">IFERROR(__xludf.DUMMYFUNCTION("""COMPUTED_VALUE"""),3)</f>
        <v>3</v>
      </c>
      <c r="H653" s="196" t="s">
        <v>276</v>
      </c>
      <c r="I653" s="196"/>
      <c r="J653" s="196" t="s">
        <v>29</v>
      </c>
      <c r="K653" s="196"/>
      <c r="L653" s="196" t="str">
        <v xml:space="preserve"> 104.00</v>
      </c>
      <c r="M653" s="196"/>
    </row>
    <row r="654" spans="1:13" ht="14.4" x14ac:dyDescent="0.3">
      <c r="A654" s="189" t="str">
        <f ca="1">IFERROR(__xludf.DUMMYFUNCTION("""COMPUTED_VALUE"""),"G")</f>
        <v>G</v>
      </c>
      <c r="B654" s="195" t="str">
        <f ca="1">IFERROR(__xludf.DUMMYFUNCTION("""COMPUTED_VALUE"""),"Hannah Snyder")</f>
        <v>Hannah Snyder</v>
      </c>
      <c r="C654" s="189">
        <f ca="1">IFERROR(__xludf.DUMMYFUNCTION("""COMPUTED_VALUE"""),12)</f>
        <v>12</v>
      </c>
      <c r="D654" s="189" t="str">
        <f ca="1">IFERROR(__xludf.DUMMYFUNCTION("""COMPUTED_VALUE"""),"G")</f>
        <v>G</v>
      </c>
      <c r="E654" s="189" t="str">
        <f ca="1">IFERROR(__xludf.DUMMYFUNCTION("""COMPUTED_VALUE"""),"J")</f>
        <v>J</v>
      </c>
      <c r="F654" s="189" t="str">
        <f ca="1">IFERROR(__xludf.DUMMYFUNCTION("""COMPUTED_VALUE"""),"I")</f>
        <v>I</v>
      </c>
      <c r="G654" s="189">
        <f ca="1">IFERROR(__xludf.DUMMYFUNCTION("""COMPUTED_VALUE"""),3)</f>
        <v>3</v>
      </c>
      <c r="H654" s="196"/>
      <c r="I654" s="196"/>
      <c r="J654" s="196"/>
      <c r="K654" s="196"/>
      <c r="L654" s="196" t="str">
        <v/>
      </c>
      <c r="M654" s="196"/>
    </row>
    <row r="655" spans="1:13" ht="14.4" x14ac:dyDescent="0.3">
      <c r="A655" s="189" t="str">
        <f ca="1">IFERROR(__xludf.DUMMYFUNCTION("""COMPUTED_VALUE"""),"G")</f>
        <v>G</v>
      </c>
      <c r="B655" s="195" t="str">
        <f ca="1">IFERROR(__xludf.DUMMYFUNCTION("""COMPUTED_VALUE"""),"Leighton Raich")</f>
        <v>Leighton Raich</v>
      </c>
      <c r="C655" s="189">
        <f ca="1">IFERROR(__xludf.DUMMYFUNCTION("""COMPUTED_VALUE"""),12)</f>
        <v>12</v>
      </c>
      <c r="D655" s="189" t="str">
        <f ca="1">IFERROR(__xludf.DUMMYFUNCTION("""COMPUTED_VALUE"""),"G")</f>
        <v>G</v>
      </c>
      <c r="E655" s="189" t="str">
        <f ca="1">IFERROR(__xludf.DUMMYFUNCTION("""COMPUTED_VALUE"""),"J")</f>
        <v>J</v>
      </c>
      <c r="F655" s="189" t="str">
        <f ca="1">IFERROR(__xludf.DUMMYFUNCTION("""COMPUTED_VALUE"""),"I")</f>
        <v>I</v>
      </c>
      <c r="G655" s="189">
        <f ca="1">IFERROR(__xludf.DUMMYFUNCTION("""COMPUTED_VALUE"""),3)</f>
        <v>3</v>
      </c>
      <c r="H655" s="196" t="s">
        <v>277</v>
      </c>
      <c r="I655" s="196"/>
      <c r="J655" s="196" t="s">
        <v>29</v>
      </c>
      <c r="K655" s="196"/>
      <c r="L655" s="196" t="str">
        <v xml:space="preserve"> 100.35</v>
      </c>
      <c r="M655" s="196"/>
    </row>
    <row r="656" spans="1:13" ht="14.4" x14ac:dyDescent="0.3">
      <c r="A656" s="189" t="str">
        <f ca="1">IFERROR(__xludf.DUMMYFUNCTION("""COMPUTED_VALUE"""),"G")</f>
        <v>G</v>
      </c>
      <c r="B656" s="195" t="str">
        <f ca="1">IFERROR(__xludf.DUMMYFUNCTION("""COMPUTED_VALUE"""),"Maddi Nassar")</f>
        <v>Maddi Nassar</v>
      </c>
      <c r="C656" s="189">
        <f ca="1">IFERROR(__xludf.DUMMYFUNCTION("""COMPUTED_VALUE"""),12)</f>
        <v>12</v>
      </c>
      <c r="D656" s="189" t="str">
        <f ca="1">IFERROR(__xludf.DUMMYFUNCTION("""COMPUTED_VALUE"""),"G")</f>
        <v>G</v>
      </c>
      <c r="E656" s="189" t="str">
        <f ca="1">IFERROR(__xludf.DUMMYFUNCTION("""COMPUTED_VALUE"""),"J")</f>
        <v>J</v>
      </c>
      <c r="F656" s="189" t="str">
        <f ca="1">IFERROR(__xludf.DUMMYFUNCTION("""COMPUTED_VALUE"""),"I")</f>
        <v>I</v>
      </c>
      <c r="G656" s="189">
        <f ca="1">IFERROR(__xludf.DUMMYFUNCTION("""COMPUTED_VALUE"""),3)</f>
        <v>3</v>
      </c>
      <c r="H656" s="196"/>
      <c r="I656" s="196"/>
      <c r="J656" s="196"/>
      <c r="K656" s="196"/>
      <c r="L656" s="196" t="str">
        <v/>
      </c>
      <c r="M656" s="196"/>
    </row>
    <row r="657" spans="1:13" ht="14.4" x14ac:dyDescent="0.3">
      <c r="A657" s="189" t="str">
        <f ca="1">IFERROR(__xludf.DUMMYFUNCTION("""COMPUTED_VALUE"""),"G")</f>
        <v>G</v>
      </c>
      <c r="B657" s="195" t="str">
        <f ca="1">IFERROR(__xludf.DUMMYFUNCTION("""COMPUTED_VALUE"""),"Michelle Pietras")</f>
        <v>Michelle Pietras</v>
      </c>
      <c r="C657" s="189">
        <f ca="1">IFERROR(__xludf.DUMMYFUNCTION("""COMPUTED_VALUE"""),11)</f>
        <v>11</v>
      </c>
      <c r="D657" s="189" t="str">
        <f ca="1">IFERROR(__xludf.DUMMYFUNCTION("""COMPUTED_VALUE"""),"G")</f>
        <v>G</v>
      </c>
      <c r="E657" s="189" t="str">
        <f ca="1">IFERROR(__xludf.DUMMYFUNCTION("""COMPUTED_VALUE"""),"J")</f>
        <v>J</v>
      </c>
      <c r="F657" s="189" t="str">
        <f ca="1">IFERROR(__xludf.DUMMYFUNCTION("""COMPUTED_VALUE"""),"I")</f>
        <v>I</v>
      </c>
      <c r="G657" s="189">
        <f ca="1">IFERROR(__xludf.DUMMYFUNCTION("""COMPUTED_VALUE"""),3)</f>
        <v>3</v>
      </c>
      <c r="H657" s="196"/>
      <c r="I657" s="196"/>
      <c r="J657" s="196"/>
      <c r="K657" s="196"/>
      <c r="L657" s="196" t="str">
        <v/>
      </c>
      <c r="M657" s="196"/>
    </row>
    <row r="658" spans="1:13" ht="14.4" x14ac:dyDescent="0.3">
      <c r="A658" s="189" t="str">
        <f ca="1">IFERROR(__xludf.DUMMYFUNCTION("""COMPUTED_VALUE"""),"G")</f>
        <v>G</v>
      </c>
      <c r="B658" s="195" t="str">
        <f ca="1">IFERROR(__xludf.DUMMYFUNCTION("""COMPUTED_VALUE"""),"Victoria Hill")</f>
        <v>Victoria Hill</v>
      </c>
      <c r="C658" s="189">
        <f ca="1">IFERROR(__xludf.DUMMYFUNCTION("""COMPUTED_VALUE"""),11)</f>
        <v>11</v>
      </c>
      <c r="D658" s="189" t="str">
        <f ca="1">IFERROR(__xludf.DUMMYFUNCTION("""COMPUTED_VALUE"""),"G")</f>
        <v>G</v>
      </c>
      <c r="E658" s="189" t="str">
        <f ca="1">IFERROR(__xludf.DUMMYFUNCTION("""COMPUTED_VALUE"""),"J")</f>
        <v>J</v>
      </c>
      <c r="F658" s="189" t="str">
        <f ca="1">IFERROR(__xludf.DUMMYFUNCTION("""COMPUTED_VALUE"""),"I")</f>
        <v>I</v>
      </c>
      <c r="G658" s="189">
        <f ca="1">IFERROR(__xludf.DUMMYFUNCTION("""COMPUTED_VALUE"""),3)</f>
        <v>3</v>
      </c>
      <c r="H658" s="196" t="s">
        <v>278</v>
      </c>
      <c r="I658" s="196"/>
      <c r="J658" s="196" t="s">
        <v>29</v>
      </c>
      <c r="K658" s="196"/>
      <c r="L658" s="196" t="str">
        <v xml:space="preserve"> 59.60</v>
      </c>
      <c r="M658" s="196"/>
    </row>
    <row r="659" spans="1:13" ht="14.4" x14ac:dyDescent="0.3">
      <c r="A659" s="189" t="str">
        <f ca="1">IFERROR(__xludf.DUMMYFUNCTION("""COMPUTED_VALUE"""),"G")</f>
        <v>G</v>
      </c>
      <c r="B659" s="195" t="str">
        <f ca="1">IFERROR(__xludf.DUMMYFUNCTION("""COMPUTED_VALUE"""),"Ben Blaeuer")</f>
        <v>Ben Blaeuer</v>
      </c>
      <c r="C659" s="189">
        <f ca="1">IFERROR(__xludf.DUMMYFUNCTION("""COMPUTED_VALUE"""),12)</f>
        <v>12</v>
      </c>
      <c r="D659" s="189" t="str">
        <f ca="1">IFERROR(__xludf.DUMMYFUNCTION("""COMPUTED_VALUE"""),"B")</f>
        <v>B</v>
      </c>
      <c r="E659" s="189" t="str">
        <f ca="1">IFERROR(__xludf.DUMMYFUNCTION("""COMPUTED_VALUE"""),"J")</f>
        <v>J</v>
      </c>
      <c r="F659" s="189" t="str">
        <f ca="1">IFERROR(__xludf.DUMMYFUNCTION("""COMPUTED_VALUE"""),"I")</f>
        <v>I</v>
      </c>
      <c r="G659" s="189">
        <f ca="1">IFERROR(__xludf.DUMMYFUNCTION("""COMPUTED_VALUE"""),3)</f>
        <v>3</v>
      </c>
      <c r="H659" s="196" t="s">
        <v>279</v>
      </c>
      <c r="I659" s="196"/>
      <c r="J659" s="196" t="s">
        <v>29</v>
      </c>
      <c r="K659" s="196"/>
      <c r="L659" s="196" t="str">
        <v xml:space="preserve"> 102.30</v>
      </c>
      <c r="M659" s="196"/>
    </row>
    <row r="660" spans="1:13" ht="14.4" x14ac:dyDescent="0.3">
      <c r="A660" s="189" t="str">
        <f ca="1">IFERROR(__xludf.DUMMYFUNCTION("""COMPUTED_VALUE"""),"G")</f>
        <v>G</v>
      </c>
      <c r="B660" s="195" t="str">
        <f ca="1">IFERROR(__xludf.DUMMYFUNCTION("""COMPUTED_VALUE"""),"Mario Guillen")</f>
        <v>Mario Guillen</v>
      </c>
      <c r="C660" s="189">
        <f ca="1">IFERROR(__xludf.DUMMYFUNCTION("""COMPUTED_VALUE"""),11)</f>
        <v>11</v>
      </c>
      <c r="D660" s="189" t="str">
        <f ca="1">IFERROR(__xludf.DUMMYFUNCTION("""COMPUTED_VALUE"""),"B")</f>
        <v>B</v>
      </c>
      <c r="E660" s="189" t="str">
        <f ca="1">IFERROR(__xludf.DUMMYFUNCTION("""COMPUTED_VALUE"""),"J")</f>
        <v>J</v>
      </c>
      <c r="F660" s="189" t="str">
        <f ca="1">IFERROR(__xludf.DUMMYFUNCTION("""COMPUTED_VALUE"""),"I")</f>
        <v>I</v>
      </c>
      <c r="G660" s="189">
        <f ca="1">IFERROR(__xludf.DUMMYFUNCTION("""COMPUTED_VALUE"""),3)</f>
        <v>3</v>
      </c>
      <c r="H660" s="196"/>
      <c r="I660" s="196"/>
      <c r="J660" s="196"/>
      <c r="K660" s="196"/>
      <c r="L660" s="196" t="str">
        <v/>
      </c>
      <c r="M660" s="196"/>
    </row>
    <row r="661" spans="1:13" ht="14.4" x14ac:dyDescent="0.3">
      <c r="A661" s="189" t="str">
        <f ca="1">IFERROR(__xludf.DUMMYFUNCTION("""COMPUTED_VALUE"""),"G")</f>
        <v>G</v>
      </c>
      <c r="B661" s="195" t="str">
        <f ca="1">IFERROR(__xludf.DUMMYFUNCTION("""COMPUTED_VALUE"""),"Wesley Grogan")</f>
        <v>Wesley Grogan</v>
      </c>
      <c r="C661" s="189">
        <f ca="1">IFERROR(__xludf.DUMMYFUNCTION("""COMPUTED_VALUE"""),12)</f>
        <v>12</v>
      </c>
      <c r="D661" s="189" t="str">
        <f ca="1">IFERROR(__xludf.DUMMYFUNCTION("""COMPUTED_VALUE"""),"B")</f>
        <v>B</v>
      </c>
      <c r="E661" s="189" t="str">
        <f ca="1">IFERROR(__xludf.DUMMYFUNCTION("""COMPUTED_VALUE"""),"J")</f>
        <v>J</v>
      </c>
      <c r="F661" s="189" t="str">
        <f ca="1">IFERROR(__xludf.DUMMYFUNCTION("""COMPUTED_VALUE"""),"I")</f>
        <v>I</v>
      </c>
      <c r="G661" s="189">
        <f ca="1">IFERROR(__xludf.DUMMYFUNCTION("""COMPUTED_VALUE"""),3)</f>
        <v>3</v>
      </c>
      <c r="H661" s="196" t="s">
        <v>280</v>
      </c>
      <c r="I661" s="196"/>
      <c r="J661" s="196" t="s">
        <v>29</v>
      </c>
      <c r="K661" s="196"/>
      <c r="L661" s="196" t="str">
        <v xml:space="preserve"> 115.25</v>
      </c>
      <c r="M661" s="196"/>
    </row>
    <row r="662" spans="1:13" ht="14.4" x14ac:dyDescent="0.3">
      <c r="A662" s="189" t="str">
        <f ca="1">IFERROR(__xludf.DUMMYFUNCTION("""COMPUTED_VALUE"""),"G")</f>
        <v>G</v>
      </c>
      <c r="B662" s="195" t="str">
        <f ca="1">IFERROR(__xludf.DUMMYFUNCTION("""COMPUTED_VALUE"""),"Will Dallas")</f>
        <v>Will Dallas</v>
      </c>
      <c r="C662" s="189">
        <f ca="1">IFERROR(__xludf.DUMMYFUNCTION("""COMPUTED_VALUE"""),11)</f>
        <v>11</v>
      </c>
      <c r="D662" s="189" t="str">
        <f ca="1">IFERROR(__xludf.DUMMYFUNCTION("""COMPUTED_VALUE"""),"B")</f>
        <v>B</v>
      </c>
      <c r="E662" s="189" t="str">
        <f ca="1">IFERROR(__xludf.DUMMYFUNCTION("""COMPUTED_VALUE"""),"J")</f>
        <v>J</v>
      </c>
      <c r="F662" s="189" t="str">
        <f ca="1">IFERROR(__xludf.DUMMYFUNCTION("""COMPUTED_VALUE"""),"I")</f>
        <v>I</v>
      </c>
      <c r="G662" s="189">
        <f ca="1">IFERROR(__xludf.DUMMYFUNCTION("""COMPUTED_VALUE"""),3)</f>
        <v>3</v>
      </c>
      <c r="H662" s="196"/>
      <c r="I662" s="196"/>
      <c r="J662" s="196"/>
      <c r="K662" s="196"/>
      <c r="L662" s="196" t="str">
        <v/>
      </c>
      <c r="M662" s="196"/>
    </row>
    <row r="663" spans="1:13" ht="14.4" x14ac:dyDescent="0.3">
      <c r="A663" s="189" t="str">
        <f ca="1">IFERROR(__xludf.DUMMYFUNCTION("""COMPUTED_VALUE"""),"G")</f>
        <v>G</v>
      </c>
      <c r="B663" s="195" t="str">
        <f ca="1">IFERROR(__xludf.DUMMYFUNCTION("""COMPUTED_VALUE"""),"Allie Farello")</f>
        <v>Allie Farello</v>
      </c>
      <c r="C663" s="189">
        <f ca="1">IFERROR(__xludf.DUMMYFUNCTION("""COMPUTED_VALUE"""),15)</f>
        <v>15</v>
      </c>
      <c r="D663" s="189" t="str">
        <f ca="1">IFERROR(__xludf.DUMMYFUNCTION("""COMPUTED_VALUE"""),"G")</f>
        <v>G</v>
      </c>
      <c r="E663" s="189" t="str">
        <f ca="1">IFERROR(__xludf.DUMMYFUNCTION("""COMPUTED_VALUE"""),"S")</f>
        <v>S</v>
      </c>
      <c r="F663" s="189" t="str">
        <f ca="1">IFERROR(__xludf.DUMMYFUNCTION("""COMPUTED_VALUE"""),"S")</f>
        <v>S</v>
      </c>
      <c r="G663" s="189">
        <f ca="1">IFERROR(__xludf.DUMMYFUNCTION("""COMPUTED_VALUE"""),3)</f>
        <v>3</v>
      </c>
      <c r="H663" s="196" t="s">
        <v>281</v>
      </c>
      <c r="I663" s="196"/>
      <c r="J663" s="196" t="s">
        <v>29</v>
      </c>
      <c r="K663" s="196"/>
      <c r="L663" s="196" t="str">
        <v xml:space="preserve"> 194.05</v>
      </c>
      <c r="M663" s="196"/>
    </row>
    <row r="664" spans="1:13" ht="14.4" x14ac:dyDescent="0.3">
      <c r="A664" s="189" t="str">
        <f ca="1">IFERROR(__xludf.DUMMYFUNCTION("""COMPUTED_VALUE"""),"G")</f>
        <v>G</v>
      </c>
      <c r="B664" s="195" t="str">
        <f ca="1">IFERROR(__xludf.DUMMYFUNCTION("""COMPUTED_VALUE"""),"Eliza Miller")</f>
        <v>Eliza Miller</v>
      </c>
      <c r="C664" s="189">
        <f ca="1">IFERROR(__xludf.DUMMYFUNCTION("""COMPUTED_VALUE"""),15)</f>
        <v>15</v>
      </c>
      <c r="D664" s="189" t="str">
        <f ca="1">IFERROR(__xludf.DUMMYFUNCTION("""COMPUTED_VALUE"""),"G")</f>
        <v>G</v>
      </c>
      <c r="E664" s="189" t="str">
        <f ca="1">IFERROR(__xludf.DUMMYFUNCTION("""COMPUTED_VALUE"""),"S")</f>
        <v>S</v>
      </c>
      <c r="F664" s="189" t="str">
        <f ca="1">IFERROR(__xludf.DUMMYFUNCTION("""COMPUTED_VALUE"""),"S")</f>
        <v>S</v>
      </c>
      <c r="G664" s="189">
        <f ca="1">IFERROR(__xludf.DUMMYFUNCTION("""COMPUTED_VALUE"""),3)</f>
        <v>3</v>
      </c>
      <c r="H664" s="196" t="s">
        <v>282</v>
      </c>
      <c r="I664" s="196"/>
      <c r="J664" s="196" t="s">
        <v>29</v>
      </c>
      <c r="K664" s="196"/>
      <c r="L664" s="196" t="str">
        <v xml:space="preserve"> 176.55</v>
      </c>
      <c r="M664" s="196"/>
    </row>
    <row r="665" spans="1:13" ht="14.4" x14ac:dyDescent="0.3">
      <c r="A665" s="189" t="str">
        <f ca="1">IFERROR(__xludf.DUMMYFUNCTION("""COMPUTED_VALUE"""),"G")</f>
        <v>G</v>
      </c>
      <c r="B665" s="195" t="str">
        <f ca="1">IFERROR(__xludf.DUMMYFUNCTION("""COMPUTED_VALUE"""),"Hazel Flynn")</f>
        <v>Hazel Flynn</v>
      </c>
      <c r="C665" s="189">
        <f ca="1">IFERROR(__xludf.DUMMYFUNCTION("""COMPUTED_VALUE"""),17)</f>
        <v>17</v>
      </c>
      <c r="D665" s="189" t="str">
        <f ca="1">IFERROR(__xludf.DUMMYFUNCTION("""COMPUTED_VALUE"""),"G")</f>
        <v>G</v>
      </c>
      <c r="E665" s="189" t="str">
        <f ca="1">IFERROR(__xludf.DUMMYFUNCTION("""COMPUTED_VALUE"""),"S")</f>
        <v>S</v>
      </c>
      <c r="F665" s="189" t="str">
        <f ca="1">IFERROR(__xludf.DUMMYFUNCTION("""COMPUTED_VALUE"""),"S")</f>
        <v>S</v>
      </c>
      <c r="G665" s="189">
        <f ca="1">IFERROR(__xludf.DUMMYFUNCTION("""COMPUTED_VALUE"""),3)</f>
        <v>3</v>
      </c>
      <c r="H665" s="196" t="s">
        <v>283</v>
      </c>
      <c r="I665" s="196"/>
      <c r="J665" s="196" t="s">
        <v>29</v>
      </c>
      <c r="K665" s="196"/>
      <c r="L665" s="196" t="str">
        <v xml:space="preserve"> 159.20</v>
      </c>
      <c r="M665" s="196"/>
    </row>
    <row r="666" spans="1:13" ht="14.4" x14ac:dyDescent="0.3">
      <c r="A666" s="189" t="str">
        <f ca="1">IFERROR(__xludf.DUMMYFUNCTION("""COMPUTED_VALUE"""),"G")</f>
        <v>G</v>
      </c>
      <c r="B666" s="195" t="str">
        <f ca="1">IFERROR(__xludf.DUMMYFUNCTION("""COMPUTED_VALUE"""),"Juliet Wells")</f>
        <v>Juliet Wells</v>
      </c>
      <c r="C666" s="189">
        <f ca="1">IFERROR(__xludf.DUMMYFUNCTION("""COMPUTED_VALUE"""),17)</f>
        <v>17</v>
      </c>
      <c r="D666" s="189" t="str">
        <f ca="1">IFERROR(__xludf.DUMMYFUNCTION("""COMPUTED_VALUE"""),"G")</f>
        <v>G</v>
      </c>
      <c r="E666" s="189" t="str">
        <f ca="1">IFERROR(__xludf.DUMMYFUNCTION("""COMPUTED_VALUE"""),"S")</f>
        <v>S</v>
      </c>
      <c r="F666" s="189" t="str">
        <f ca="1">IFERROR(__xludf.DUMMYFUNCTION("""COMPUTED_VALUE"""),"S")</f>
        <v>S</v>
      </c>
      <c r="G666" s="189">
        <f ca="1">IFERROR(__xludf.DUMMYFUNCTION("""COMPUTED_VALUE"""),3)</f>
        <v>3</v>
      </c>
      <c r="H666" s="196"/>
      <c r="I666" s="196"/>
      <c r="J666" s="196"/>
      <c r="K666" s="196"/>
      <c r="L666" s="196" t="str">
        <v/>
      </c>
      <c r="M666" s="196"/>
    </row>
    <row r="667" spans="1:13" ht="14.4" x14ac:dyDescent="0.3">
      <c r="A667" s="189" t="str">
        <f ca="1">IFERROR(__xludf.DUMMYFUNCTION("""COMPUTED_VALUE"""),"G")</f>
        <v>G</v>
      </c>
      <c r="B667" s="195" t="str">
        <f ca="1">IFERROR(__xludf.DUMMYFUNCTION("""COMPUTED_VALUE"""),"Maria Miller")</f>
        <v>Maria Miller</v>
      </c>
      <c r="C667" s="189">
        <f ca="1">IFERROR(__xludf.DUMMYFUNCTION("""COMPUTED_VALUE"""),16)</f>
        <v>16</v>
      </c>
      <c r="D667" s="189" t="str">
        <f ca="1">IFERROR(__xludf.DUMMYFUNCTION("""COMPUTED_VALUE"""),"G")</f>
        <v>G</v>
      </c>
      <c r="E667" s="189" t="str">
        <f ca="1">IFERROR(__xludf.DUMMYFUNCTION("""COMPUTED_VALUE"""),"S")</f>
        <v>S</v>
      </c>
      <c r="F667" s="189" t="str">
        <f ca="1">IFERROR(__xludf.DUMMYFUNCTION("""COMPUTED_VALUE"""),"S")</f>
        <v>S</v>
      </c>
      <c r="G667" s="189">
        <f ca="1">IFERROR(__xludf.DUMMYFUNCTION("""COMPUTED_VALUE"""),3)</f>
        <v>3</v>
      </c>
      <c r="H667" s="196" t="s">
        <v>284</v>
      </c>
      <c r="I667" s="196"/>
      <c r="J667" s="196" t="s">
        <v>29</v>
      </c>
      <c r="K667" s="196"/>
      <c r="L667" s="196" t="str">
        <v xml:space="preserve"> 168.60</v>
      </c>
      <c r="M667" s="196"/>
    </row>
    <row r="668" spans="1:13" ht="14.4" x14ac:dyDescent="0.3">
      <c r="A668" s="189" t="str">
        <f ca="1">IFERROR(__xludf.DUMMYFUNCTION("""COMPUTED_VALUE"""),"G")</f>
        <v>G</v>
      </c>
      <c r="B668" s="195" t="str">
        <f ca="1">IFERROR(__xludf.DUMMYFUNCTION("""COMPUTED_VALUE"""),"Meghan Henderson")</f>
        <v>Meghan Henderson</v>
      </c>
      <c r="C668" s="189">
        <f ca="1">IFERROR(__xludf.DUMMYFUNCTION("""COMPUTED_VALUE"""),18)</f>
        <v>18</v>
      </c>
      <c r="D668" s="189" t="str">
        <f ca="1">IFERROR(__xludf.DUMMYFUNCTION("""COMPUTED_VALUE"""),"G")</f>
        <v>G</v>
      </c>
      <c r="E668" s="189" t="str">
        <f ca="1">IFERROR(__xludf.DUMMYFUNCTION("""COMPUTED_VALUE"""),"S")</f>
        <v>S</v>
      </c>
      <c r="F668" s="189" t="str">
        <f ca="1">IFERROR(__xludf.DUMMYFUNCTION("""COMPUTED_VALUE"""),"S")</f>
        <v>S</v>
      </c>
      <c r="G668" s="189">
        <f ca="1">IFERROR(__xludf.DUMMYFUNCTION("""COMPUTED_VALUE"""),3)</f>
        <v>3</v>
      </c>
      <c r="H668" s="196"/>
      <c r="I668" s="196"/>
      <c r="J668" s="196"/>
      <c r="K668" s="196"/>
      <c r="L668" s="196" t="str">
        <v/>
      </c>
      <c r="M668" s="196"/>
    </row>
    <row r="669" spans="1:13" ht="14.4" x14ac:dyDescent="0.3">
      <c r="A669" s="189" t="str">
        <f ca="1">IFERROR(__xludf.DUMMYFUNCTION("""COMPUTED_VALUE"""),"G")</f>
        <v>G</v>
      </c>
      <c r="B669" s="195" t="str">
        <f ca="1">IFERROR(__xludf.DUMMYFUNCTION("""COMPUTED_VALUE"""),"Rowan Threadgill")</f>
        <v>Rowan Threadgill</v>
      </c>
      <c r="C669" s="189">
        <f ca="1">IFERROR(__xludf.DUMMYFUNCTION("""COMPUTED_VALUE"""),15)</f>
        <v>15</v>
      </c>
      <c r="D669" s="189" t="str">
        <f ca="1">IFERROR(__xludf.DUMMYFUNCTION("""COMPUTED_VALUE"""),"G")</f>
        <v>G</v>
      </c>
      <c r="E669" s="189" t="str">
        <f ca="1">IFERROR(__xludf.DUMMYFUNCTION("""COMPUTED_VALUE"""),"S")</f>
        <v>S</v>
      </c>
      <c r="F669" s="189" t="str">
        <f ca="1">IFERROR(__xludf.DUMMYFUNCTION("""COMPUTED_VALUE"""),"S")</f>
        <v>S</v>
      </c>
      <c r="G669" s="189">
        <f ca="1">IFERROR(__xludf.DUMMYFUNCTION("""COMPUTED_VALUE"""),3)</f>
        <v>3</v>
      </c>
      <c r="H669" s="196" t="s">
        <v>285</v>
      </c>
      <c r="I669" s="196"/>
      <c r="J669" s="196" t="s">
        <v>29</v>
      </c>
      <c r="K669" s="196"/>
      <c r="L669" s="196" t="str">
        <v xml:space="preserve"> 234.05</v>
      </c>
      <c r="M669" s="196"/>
    </row>
    <row r="670" spans="1:13" ht="14.4" x14ac:dyDescent="0.3">
      <c r="A670" s="189" t="str">
        <f ca="1">IFERROR(__xludf.DUMMYFUNCTION("""COMPUTED_VALUE"""),"G")</f>
        <v>G</v>
      </c>
      <c r="B670" s="195" t="str">
        <f ca="1">IFERROR(__xludf.DUMMYFUNCTION("""COMPUTED_VALUE"""),"Kai Threadgill")</f>
        <v>Kai Threadgill</v>
      </c>
      <c r="C670" s="189">
        <f ca="1">IFERROR(__xludf.DUMMYFUNCTION("""COMPUTED_VALUE"""),18)</f>
        <v>18</v>
      </c>
      <c r="D670" s="189" t="str">
        <f ca="1">IFERROR(__xludf.DUMMYFUNCTION("""COMPUTED_VALUE"""),"B")</f>
        <v>B</v>
      </c>
      <c r="E670" s="189" t="str">
        <f ca="1">IFERROR(__xludf.DUMMYFUNCTION("""COMPUTED_VALUE"""),"S")</f>
        <v>S</v>
      </c>
      <c r="F670" s="189" t="str">
        <f ca="1">IFERROR(__xludf.DUMMYFUNCTION("""COMPUTED_VALUE"""),"S")</f>
        <v>S</v>
      </c>
      <c r="G670" s="189">
        <f ca="1">IFERROR(__xludf.DUMMYFUNCTION("""COMPUTED_VALUE"""),3)</f>
        <v>3</v>
      </c>
      <c r="H670" s="196"/>
      <c r="I670" s="196"/>
      <c r="J670" s="196"/>
      <c r="K670" s="196"/>
      <c r="L670" s="196" t="str">
        <v/>
      </c>
      <c r="M670" s="196"/>
    </row>
    <row r="671" spans="1:13" ht="14.4" x14ac:dyDescent="0.3">
      <c r="A671" s="189" t="str">
        <f ca="1">IFERROR(__xludf.DUMMYFUNCTION("""COMPUTED_VALUE"""),"G")</f>
        <v>G</v>
      </c>
      <c r="B671" s="195" t="str">
        <f ca="1">IFERROR(__xludf.DUMMYFUNCTION("""COMPUTED_VALUE"""),"Mason Waterfield")</f>
        <v>Mason Waterfield</v>
      </c>
      <c r="C671" s="189">
        <f ca="1">IFERROR(__xludf.DUMMYFUNCTION("""COMPUTED_VALUE"""),16)</f>
        <v>16</v>
      </c>
      <c r="D671" s="189" t="str">
        <f ca="1">IFERROR(__xludf.DUMMYFUNCTION("""COMPUTED_VALUE"""),"B")</f>
        <v>B</v>
      </c>
      <c r="E671" s="189" t="str">
        <f ca="1">IFERROR(__xludf.DUMMYFUNCTION("""COMPUTED_VALUE"""),"S")</f>
        <v>S</v>
      </c>
      <c r="F671" s="189" t="str">
        <f ca="1">IFERROR(__xludf.DUMMYFUNCTION("""COMPUTED_VALUE"""),"S")</f>
        <v>S</v>
      </c>
      <c r="G671" s="189">
        <f ca="1">IFERROR(__xludf.DUMMYFUNCTION("""COMPUTED_VALUE"""),3)</f>
        <v>3</v>
      </c>
      <c r="H671" s="196"/>
      <c r="I671" s="196"/>
      <c r="J671" s="196"/>
      <c r="K671" s="196"/>
      <c r="L671" s="196" t="str">
        <v/>
      </c>
      <c r="M671" s="196"/>
    </row>
    <row r="672" spans="1:13" ht="14.4" x14ac:dyDescent="0.3">
      <c r="A672" s="189" t="str">
        <f ca="1">IFERROR(__xludf.DUMMYFUNCTION("""COMPUTED_VALUE"""),"G")</f>
        <v>G</v>
      </c>
      <c r="B672" s="195" t="str">
        <f ca="1">IFERROR(__xludf.DUMMYFUNCTION("""COMPUTED_VALUE"""),"Paxton Martinez")</f>
        <v>Paxton Martinez</v>
      </c>
      <c r="C672" s="189">
        <f ca="1">IFERROR(__xludf.DUMMYFUNCTION("""COMPUTED_VALUE"""),17)</f>
        <v>17</v>
      </c>
      <c r="D672" s="189" t="str">
        <f ca="1">IFERROR(__xludf.DUMMYFUNCTION("""COMPUTED_VALUE"""),"B")</f>
        <v>B</v>
      </c>
      <c r="E672" s="189" t="str">
        <f ca="1">IFERROR(__xludf.DUMMYFUNCTION("""COMPUTED_VALUE"""),"S")</f>
        <v>S</v>
      </c>
      <c r="F672" s="189" t="str">
        <f ca="1">IFERROR(__xludf.DUMMYFUNCTION("""COMPUTED_VALUE"""),"S")</f>
        <v>S</v>
      </c>
      <c r="G672" s="189">
        <f ca="1">IFERROR(__xludf.DUMMYFUNCTION("""COMPUTED_VALUE"""),3)</f>
        <v>3</v>
      </c>
      <c r="H672" s="196" t="s">
        <v>286</v>
      </c>
      <c r="I672" s="196"/>
      <c r="J672" s="196" t="s">
        <v>29</v>
      </c>
      <c r="K672" s="196"/>
      <c r="L672" s="196" t="str">
        <v xml:space="preserve"> 281.65</v>
      </c>
      <c r="M672" s="196"/>
    </row>
    <row r="673" spans="1:13" ht="14.4" x14ac:dyDescent="0.3">
      <c r="A673" s="189" t="str">
        <f ca="1">IFERROR(__xludf.DUMMYFUNCTION("""COMPUTED_VALUE"""),"GF")</f>
        <v>GF</v>
      </c>
      <c r="B673" s="195" t="str">
        <f ca="1">IFERROR(__xludf.DUMMYFUNCTION("""COMPUTED_VALUE"""),"Abby Bockman")</f>
        <v>Abby Bockman</v>
      </c>
      <c r="C673" s="189">
        <f ca="1">IFERROR(__xludf.DUMMYFUNCTION("""COMPUTED_VALUE"""),9)</f>
        <v>9</v>
      </c>
      <c r="D673" s="189" t="str">
        <f ca="1">IFERROR(__xludf.DUMMYFUNCTION("""COMPUTED_VALUE"""),"G")</f>
        <v>G</v>
      </c>
      <c r="E673" s="189" t="str">
        <f ca="1">IFERROR(__xludf.DUMMYFUNCTION("""COMPUTED_VALUE"""),"F")</f>
        <v>F</v>
      </c>
      <c r="F673" s="189" t="str">
        <f ca="1">IFERROR(__xludf.DUMMYFUNCTION("""COMPUTED_VALUE"""),"J")</f>
        <v>J</v>
      </c>
      <c r="G673" s="189">
        <f ca="1">IFERROR(__xludf.DUMMYFUNCTION("""COMPUTED_VALUE"""),4)</f>
        <v>4</v>
      </c>
      <c r="H673" s="196"/>
      <c r="I673" s="196"/>
      <c r="J673" s="196"/>
      <c r="K673" s="196"/>
      <c r="L673" s="196" t="str">
        <v/>
      </c>
      <c r="M673" s="196"/>
    </row>
    <row r="674" spans="1:13" ht="14.4" x14ac:dyDescent="0.3">
      <c r="A674" s="189" t="str">
        <f ca="1">IFERROR(__xludf.DUMMYFUNCTION("""COMPUTED_VALUE"""),"GF")</f>
        <v>GF</v>
      </c>
      <c r="B674" s="195" t="str">
        <f ca="1">IFERROR(__xludf.DUMMYFUNCTION("""COMPUTED_VALUE"""),"Annie Baker")</f>
        <v>Annie Baker</v>
      </c>
      <c r="C674" s="189">
        <f ca="1">IFERROR(__xludf.DUMMYFUNCTION("""COMPUTED_VALUE"""),10)</f>
        <v>10</v>
      </c>
      <c r="D674" s="189" t="str">
        <f ca="1">IFERROR(__xludf.DUMMYFUNCTION("""COMPUTED_VALUE"""),"G")</f>
        <v>G</v>
      </c>
      <c r="E674" s="189" t="str">
        <f ca="1">IFERROR(__xludf.DUMMYFUNCTION("""COMPUTED_VALUE"""),"F")</f>
        <v>F</v>
      </c>
      <c r="F674" s="189" t="str">
        <f ca="1">IFERROR(__xludf.DUMMYFUNCTION("""COMPUTED_VALUE"""),"J")</f>
        <v>J</v>
      </c>
      <c r="G674" s="189">
        <f ca="1">IFERROR(__xludf.DUMMYFUNCTION("""COMPUTED_VALUE"""),4)</f>
        <v>4</v>
      </c>
      <c r="H674" s="196" t="s">
        <v>287</v>
      </c>
      <c r="I674" s="196"/>
      <c r="J674" s="196" t="s">
        <v>29</v>
      </c>
      <c r="K674" s="196"/>
      <c r="L674" s="196" t="str">
        <v xml:space="preserve"> 32.35</v>
      </c>
      <c r="M674" s="196"/>
    </row>
    <row r="675" spans="1:13" ht="14.4" x14ac:dyDescent="0.3">
      <c r="A675" s="189" t="str">
        <f ca="1">IFERROR(__xludf.DUMMYFUNCTION("""COMPUTED_VALUE"""),"GF")</f>
        <v>GF</v>
      </c>
      <c r="B675" s="195" t="str">
        <f ca="1">IFERROR(__xludf.DUMMYFUNCTION("""COMPUTED_VALUE"""),"Cecilia Sanders")</f>
        <v>Cecilia Sanders</v>
      </c>
      <c r="C675" s="189">
        <f ca="1">IFERROR(__xludf.DUMMYFUNCTION("""COMPUTED_VALUE"""),9)</f>
        <v>9</v>
      </c>
      <c r="D675" s="189" t="str">
        <f ca="1">IFERROR(__xludf.DUMMYFUNCTION("""COMPUTED_VALUE"""),"G")</f>
        <v>G</v>
      </c>
      <c r="E675" s="189" t="str">
        <f ca="1">IFERROR(__xludf.DUMMYFUNCTION("""COMPUTED_VALUE"""),"F")</f>
        <v>F</v>
      </c>
      <c r="F675" s="189" t="str">
        <f ca="1">IFERROR(__xludf.DUMMYFUNCTION("""COMPUTED_VALUE"""),"J")</f>
        <v>J</v>
      </c>
      <c r="G675" s="189">
        <f ca="1">IFERROR(__xludf.DUMMYFUNCTION("""COMPUTED_VALUE"""),4)</f>
        <v>4</v>
      </c>
      <c r="H675" s="196" t="s">
        <v>288</v>
      </c>
      <c r="I675" s="196"/>
      <c r="J675" s="196" t="s">
        <v>29</v>
      </c>
      <c r="K675" s="196"/>
      <c r="L675" s="196" t="str">
        <v xml:space="preserve"> 32.25</v>
      </c>
      <c r="M675" s="196"/>
    </row>
    <row r="676" spans="1:13" ht="14.4" x14ac:dyDescent="0.3">
      <c r="A676" s="189" t="str">
        <f ca="1">IFERROR(__xludf.DUMMYFUNCTION("""COMPUTED_VALUE"""),"GF")</f>
        <v>GF</v>
      </c>
      <c r="B676" s="195" t="str">
        <f ca="1">IFERROR(__xludf.DUMMYFUNCTION("""COMPUTED_VALUE"""),"Charlotte Gilstrap")</f>
        <v>Charlotte Gilstrap</v>
      </c>
      <c r="C676" s="189">
        <f ca="1">IFERROR(__xludf.DUMMYFUNCTION("""COMPUTED_VALUE"""),5)</f>
        <v>5</v>
      </c>
      <c r="D676" s="189" t="str">
        <f ca="1">IFERROR(__xludf.DUMMYFUNCTION("""COMPUTED_VALUE"""),"G")</f>
        <v>G</v>
      </c>
      <c r="E676" s="189" t="str">
        <f ca="1">IFERROR(__xludf.DUMMYFUNCTION("""COMPUTED_VALUE"""),"F")</f>
        <v>F</v>
      </c>
      <c r="F676" s="189" t="str">
        <f ca="1">IFERROR(__xludf.DUMMYFUNCTION("""COMPUTED_VALUE"""),"J")</f>
        <v>J</v>
      </c>
      <c r="G676" s="189">
        <f ca="1">IFERROR(__xludf.DUMMYFUNCTION("""COMPUTED_VALUE"""),4)</f>
        <v>4</v>
      </c>
      <c r="H676" s="196"/>
      <c r="I676" s="196"/>
      <c r="J676" s="196"/>
      <c r="K676" s="196"/>
      <c r="L676" s="196" t="str">
        <v/>
      </c>
      <c r="M676" s="196"/>
    </row>
    <row r="677" spans="1:13" ht="14.4" x14ac:dyDescent="0.3">
      <c r="A677" s="189" t="str">
        <f ca="1">IFERROR(__xludf.DUMMYFUNCTION("""COMPUTED_VALUE"""),"GF")</f>
        <v>GF</v>
      </c>
      <c r="B677" s="195" t="str">
        <f ca="1">IFERROR(__xludf.DUMMYFUNCTION("""COMPUTED_VALUE"""),"Charlotte Miller")</f>
        <v>Charlotte Miller</v>
      </c>
      <c r="C677" s="189">
        <f ca="1">IFERROR(__xludf.DUMMYFUNCTION("""COMPUTED_VALUE"""),9)</f>
        <v>9</v>
      </c>
      <c r="D677" s="189" t="str">
        <f ca="1">IFERROR(__xludf.DUMMYFUNCTION("""COMPUTED_VALUE"""),"G")</f>
        <v>G</v>
      </c>
      <c r="E677" s="189" t="str">
        <f ca="1">IFERROR(__xludf.DUMMYFUNCTION("""COMPUTED_VALUE"""),"F")</f>
        <v>F</v>
      </c>
      <c r="F677" s="189" t="str">
        <f ca="1">IFERROR(__xludf.DUMMYFUNCTION("""COMPUTED_VALUE"""),"J")</f>
        <v>J</v>
      </c>
      <c r="G677" s="189">
        <f ca="1">IFERROR(__xludf.DUMMYFUNCTION("""COMPUTED_VALUE"""),4)</f>
        <v>4</v>
      </c>
      <c r="H677" s="196"/>
      <c r="I677" s="196"/>
      <c r="J677" s="196"/>
      <c r="K677" s="196"/>
      <c r="L677" s="196" t="str">
        <v/>
      </c>
      <c r="M677" s="196"/>
    </row>
    <row r="678" spans="1:13" ht="14.4" x14ac:dyDescent="0.3">
      <c r="A678" s="189" t="str">
        <f ca="1">IFERROR(__xludf.DUMMYFUNCTION("""COMPUTED_VALUE"""),"GF")</f>
        <v>GF</v>
      </c>
      <c r="B678" s="195" t="str">
        <f ca="1">IFERROR(__xludf.DUMMYFUNCTION("""COMPUTED_VALUE"""),"Charlotte Sandstrom")</f>
        <v>Charlotte Sandstrom</v>
      </c>
      <c r="C678" s="189">
        <f ca="1">IFERROR(__xludf.DUMMYFUNCTION("""COMPUTED_VALUE"""),5)</f>
        <v>5</v>
      </c>
      <c r="D678" s="189" t="str">
        <f ca="1">IFERROR(__xludf.DUMMYFUNCTION("""COMPUTED_VALUE"""),"G")</f>
        <v>G</v>
      </c>
      <c r="E678" s="189" t="str">
        <f ca="1">IFERROR(__xludf.DUMMYFUNCTION("""COMPUTED_VALUE"""),"F")</f>
        <v>F</v>
      </c>
      <c r="F678" s="189" t="str">
        <f ca="1">IFERROR(__xludf.DUMMYFUNCTION("""COMPUTED_VALUE"""),"J")</f>
        <v>J</v>
      </c>
      <c r="G678" s="189">
        <f ca="1">IFERROR(__xludf.DUMMYFUNCTION("""COMPUTED_VALUE"""),4)</f>
        <v>4</v>
      </c>
      <c r="H678" s="196"/>
      <c r="I678" s="196"/>
      <c r="J678" s="196"/>
      <c r="K678" s="196"/>
      <c r="L678" s="196" t="str">
        <v/>
      </c>
      <c r="M678" s="196"/>
    </row>
    <row r="679" spans="1:13" ht="14.4" x14ac:dyDescent="0.3">
      <c r="A679" s="189" t="str">
        <f ca="1">IFERROR(__xludf.DUMMYFUNCTION("""COMPUTED_VALUE"""),"GF")</f>
        <v>GF</v>
      </c>
      <c r="B679" s="195" t="str">
        <f ca="1">IFERROR(__xludf.DUMMYFUNCTION("""COMPUTED_VALUE"""),"Dee Damjan")</f>
        <v>Dee Damjan</v>
      </c>
      <c r="C679" s="189">
        <f ca="1">IFERROR(__xludf.DUMMYFUNCTION("""COMPUTED_VALUE"""),10)</f>
        <v>10</v>
      </c>
      <c r="D679" s="189" t="str">
        <f ca="1">IFERROR(__xludf.DUMMYFUNCTION("""COMPUTED_VALUE"""),"G")</f>
        <v>G</v>
      </c>
      <c r="E679" s="189" t="str">
        <f ca="1">IFERROR(__xludf.DUMMYFUNCTION("""COMPUTED_VALUE"""),"F")</f>
        <v>F</v>
      </c>
      <c r="F679" s="189" t="str">
        <f ca="1">IFERROR(__xludf.DUMMYFUNCTION("""COMPUTED_VALUE"""),"J")</f>
        <v>J</v>
      </c>
      <c r="G679" s="189">
        <f ca="1">IFERROR(__xludf.DUMMYFUNCTION("""COMPUTED_VALUE"""),4)</f>
        <v>4</v>
      </c>
      <c r="H679" s="196"/>
      <c r="I679" s="196"/>
      <c r="J679" s="196"/>
      <c r="K679" s="196"/>
      <c r="L679" s="196" t="str">
        <v/>
      </c>
      <c r="M679" s="196"/>
    </row>
    <row r="680" spans="1:13" ht="14.4" x14ac:dyDescent="0.3">
      <c r="A680" s="189" t="str">
        <f ca="1">IFERROR(__xludf.DUMMYFUNCTION("""COMPUTED_VALUE"""),"GF")</f>
        <v>GF</v>
      </c>
      <c r="B680" s="195" t="str">
        <f ca="1">IFERROR(__xludf.DUMMYFUNCTION("""COMPUTED_VALUE"""),"Hailey Walkenhorst")</f>
        <v>Hailey Walkenhorst</v>
      </c>
      <c r="C680" s="189">
        <f ca="1">IFERROR(__xludf.DUMMYFUNCTION("""COMPUTED_VALUE"""),10)</f>
        <v>10</v>
      </c>
      <c r="D680" s="189" t="str">
        <f ca="1">IFERROR(__xludf.DUMMYFUNCTION("""COMPUTED_VALUE"""),"G")</f>
        <v>G</v>
      </c>
      <c r="E680" s="189" t="str">
        <f ca="1">IFERROR(__xludf.DUMMYFUNCTION("""COMPUTED_VALUE"""),"F")</f>
        <v>F</v>
      </c>
      <c r="F680" s="189" t="str">
        <f ca="1">IFERROR(__xludf.DUMMYFUNCTION("""COMPUTED_VALUE"""),"J")</f>
        <v>J</v>
      </c>
      <c r="G680" s="189">
        <f ca="1">IFERROR(__xludf.DUMMYFUNCTION("""COMPUTED_VALUE"""),4)</f>
        <v>4</v>
      </c>
      <c r="H680" s="196" t="s">
        <v>289</v>
      </c>
      <c r="I680" s="196"/>
      <c r="J680" s="196" t="s">
        <v>29</v>
      </c>
      <c r="K680" s="196"/>
      <c r="L680" s="196" t="str">
        <v xml:space="preserve"> 55.05</v>
      </c>
      <c r="M680" s="196"/>
    </row>
    <row r="681" spans="1:13" ht="14.4" x14ac:dyDescent="0.3">
      <c r="A681" s="189" t="str">
        <f ca="1">IFERROR(__xludf.DUMMYFUNCTION("""COMPUTED_VALUE"""),"GF")</f>
        <v>GF</v>
      </c>
      <c r="B681" s="195" t="str">
        <f ca="1">IFERROR(__xludf.DUMMYFUNCTION("""COMPUTED_VALUE"""),"Hayes Hohmann")</f>
        <v>Hayes Hohmann</v>
      </c>
      <c r="C681" s="189">
        <f ca="1">IFERROR(__xludf.DUMMYFUNCTION("""COMPUTED_VALUE"""),8)</f>
        <v>8</v>
      </c>
      <c r="D681" s="189" t="str">
        <f ca="1">IFERROR(__xludf.DUMMYFUNCTION("""COMPUTED_VALUE"""),"G")</f>
        <v>G</v>
      </c>
      <c r="E681" s="189" t="str">
        <f ca="1">IFERROR(__xludf.DUMMYFUNCTION("""COMPUTED_VALUE"""),"F")</f>
        <v>F</v>
      </c>
      <c r="F681" s="189" t="str">
        <f ca="1">IFERROR(__xludf.DUMMYFUNCTION("""COMPUTED_VALUE"""),"J")</f>
        <v>J</v>
      </c>
      <c r="G681" s="189">
        <f ca="1">IFERROR(__xludf.DUMMYFUNCTION("""COMPUTED_VALUE"""),4)</f>
        <v>4</v>
      </c>
      <c r="H681" s="196"/>
      <c r="I681" s="196"/>
      <c r="J681" s="196"/>
      <c r="K681" s="196"/>
      <c r="L681" s="196" t="str">
        <v/>
      </c>
      <c r="M681" s="196"/>
    </row>
    <row r="682" spans="1:13" ht="14.4" x14ac:dyDescent="0.3">
      <c r="A682" s="189" t="str">
        <f ca="1">IFERROR(__xludf.DUMMYFUNCTION("""COMPUTED_VALUE"""),"GF")</f>
        <v>GF</v>
      </c>
      <c r="B682" s="195" t="str">
        <f ca="1">IFERROR(__xludf.DUMMYFUNCTION("""COMPUTED_VALUE"""),"Julianne Sanders")</f>
        <v>Julianne Sanders</v>
      </c>
      <c r="C682" s="189">
        <f ca="1">IFERROR(__xludf.DUMMYFUNCTION("""COMPUTED_VALUE"""),6)</f>
        <v>6</v>
      </c>
      <c r="D682" s="189" t="str">
        <f ca="1">IFERROR(__xludf.DUMMYFUNCTION("""COMPUTED_VALUE"""),"G")</f>
        <v>G</v>
      </c>
      <c r="E682" s="189" t="str">
        <f ca="1">IFERROR(__xludf.DUMMYFUNCTION("""COMPUTED_VALUE"""),"F")</f>
        <v>F</v>
      </c>
      <c r="F682" s="189" t="str">
        <f ca="1">IFERROR(__xludf.DUMMYFUNCTION("""COMPUTED_VALUE"""),"J")</f>
        <v>J</v>
      </c>
      <c r="G682" s="189">
        <f ca="1">IFERROR(__xludf.DUMMYFUNCTION("""COMPUTED_VALUE"""),4)</f>
        <v>4</v>
      </c>
      <c r="H682" s="196" t="s">
        <v>290</v>
      </c>
      <c r="I682" s="196"/>
      <c r="J682" s="196" t="s">
        <v>29</v>
      </c>
      <c r="K682" s="196"/>
      <c r="L682" s="196" t="str">
        <v xml:space="preserve"> 12.00</v>
      </c>
      <c r="M682" s="196"/>
    </row>
    <row r="683" spans="1:13" ht="14.4" x14ac:dyDescent="0.3">
      <c r="A683" s="189" t="str">
        <f ca="1">IFERROR(__xludf.DUMMYFUNCTION("""COMPUTED_VALUE"""),"GF")</f>
        <v>GF</v>
      </c>
      <c r="B683" s="195" t="str">
        <f ca="1">IFERROR(__xludf.DUMMYFUNCTION("""COMPUTED_VALUE"""),"Lexi Fowler")</f>
        <v>Lexi Fowler</v>
      </c>
      <c r="C683" s="189">
        <f ca="1">IFERROR(__xludf.DUMMYFUNCTION("""COMPUTED_VALUE"""),10)</f>
        <v>10</v>
      </c>
      <c r="D683" s="189" t="str">
        <f ca="1">IFERROR(__xludf.DUMMYFUNCTION("""COMPUTED_VALUE"""),"G")</f>
        <v>G</v>
      </c>
      <c r="E683" s="189" t="str">
        <f ca="1">IFERROR(__xludf.DUMMYFUNCTION("""COMPUTED_VALUE"""),"F")</f>
        <v>F</v>
      </c>
      <c r="F683" s="189" t="str">
        <f ca="1">IFERROR(__xludf.DUMMYFUNCTION("""COMPUTED_VALUE"""),"J")</f>
        <v>J</v>
      </c>
      <c r="G683" s="189">
        <f ca="1">IFERROR(__xludf.DUMMYFUNCTION("""COMPUTED_VALUE"""),4)</f>
        <v>4</v>
      </c>
      <c r="H683" s="196" t="s">
        <v>291</v>
      </c>
      <c r="I683" s="196"/>
      <c r="J683" s="196" t="s">
        <v>29</v>
      </c>
      <c r="K683" s="196"/>
      <c r="L683" s="196" t="str">
        <v xml:space="preserve"> 34.55</v>
      </c>
      <c r="M683" s="196"/>
    </row>
    <row r="684" spans="1:13" ht="14.4" x14ac:dyDescent="0.3">
      <c r="A684" s="189" t="str">
        <f ca="1">IFERROR(__xludf.DUMMYFUNCTION("""COMPUTED_VALUE"""),"GF")</f>
        <v>GF</v>
      </c>
      <c r="B684" s="195" t="str">
        <f ca="1">IFERROR(__xludf.DUMMYFUNCTION("""COMPUTED_VALUE"""),"Lily Dhalla")</f>
        <v>Lily Dhalla</v>
      </c>
      <c r="C684" s="189">
        <f ca="1">IFERROR(__xludf.DUMMYFUNCTION("""COMPUTED_VALUE"""),7)</f>
        <v>7</v>
      </c>
      <c r="D684" s="189" t="str">
        <f ca="1">IFERROR(__xludf.DUMMYFUNCTION("""COMPUTED_VALUE"""),"G")</f>
        <v>G</v>
      </c>
      <c r="E684" s="189" t="str">
        <f ca="1">IFERROR(__xludf.DUMMYFUNCTION("""COMPUTED_VALUE"""),"F")</f>
        <v>F</v>
      </c>
      <c r="F684" s="189" t="str">
        <f ca="1">IFERROR(__xludf.DUMMYFUNCTION("""COMPUTED_VALUE"""),"J")</f>
        <v>J</v>
      </c>
      <c r="G684" s="189">
        <f ca="1">IFERROR(__xludf.DUMMYFUNCTION("""COMPUTED_VALUE"""),4)</f>
        <v>4</v>
      </c>
      <c r="H684" s="196"/>
      <c r="I684" s="196"/>
      <c r="J684" s="196"/>
      <c r="K684" s="196"/>
      <c r="L684" s="196" t="str">
        <v/>
      </c>
      <c r="M684" s="196"/>
    </row>
    <row r="685" spans="1:13" ht="14.4" x14ac:dyDescent="0.3">
      <c r="A685" s="189" t="str">
        <f ca="1">IFERROR(__xludf.DUMMYFUNCTION("""COMPUTED_VALUE"""),"GF")</f>
        <v>GF</v>
      </c>
      <c r="B685" s="195" t="str">
        <f ca="1">IFERROR(__xludf.DUMMYFUNCTION("""COMPUTED_VALUE"""),"Madinah McKimmy")</f>
        <v>Madinah McKimmy</v>
      </c>
      <c r="C685" s="189">
        <f ca="1">IFERROR(__xludf.DUMMYFUNCTION("""COMPUTED_VALUE"""),8)</f>
        <v>8</v>
      </c>
      <c r="D685" s="189" t="str">
        <f ca="1">IFERROR(__xludf.DUMMYFUNCTION("""COMPUTED_VALUE"""),"G")</f>
        <v>G</v>
      </c>
      <c r="E685" s="189" t="str">
        <f ca="1">IFERROR(__xludf.DUMMYFUNCTION("""COMPUTED_VALUE"""),"F")</f>
        <v>F</v>
      </c>
      <c r="F685" s="189" t="str">
        <f ca="1">IFERROR(__xludf.DUMMYFUNCTION("""COMPUTED_VALUE"""),"J")</f>
        <v>J</v>
      </c>
      <c r="G685" s="189">
        <f ca="1">IFERROR(__xludf.DUMMYFUNCTION("""COMPUTED_VALUE"""),4)</f>
        <v>4</v>
      </c>
      <c r="H685" s="196"/>
      <c r="I685" s="196"/>
      <c r="J685" s="196"/>
      <c r="K685" s="196"/>
      <c r="L685" s="196" t="str">
        <v/>
      </c>
      <c r="M685" s="196"/>
    </row>
    <row r="686" spans="1:13" ht="14.4" x14ac:dyDescent="0.3">
      <c r="A686" s="189" t="str">
        <f ca="1">IFERROR(__xludf.DUMMYFUNCTION("""COMPUTED_VALUE"""),"GF")</f>
        <v>GF</v>
      </c>
      <c r="B686" s="195" t="str">
        <f ca="1">IFERROR(__xludf.DUMMYFUNCTION("""COMPUTED_VALUE"""),"Sarah Avery")</f>
        <v>Sarah Avery</v>
      </c>
      <c r="C686" s="189">
        <f ca="1">IFERROR(__xludf.DUMMYFUNCTION("""COMPUTED_VALUE"""),9)</f>
        <v>9</v>
      </c>
      <c r="D686" s="189" t="str">
        <f ca="1">IFERROR(__xludf.DUMMYFUNCTION("""COMPUTED_VALUE"""),"G")</f>
        <v>G</v>
      </c>
      <c r="E686" s="189" t="str">
        <f ca="1">IFERROR(__xludf.DUMMYFUNCTION("""COMPUTED_VALUE"""),"F")</f>
        <v>F</v>
      </c>
      <c r="F686" s="189" t="str">
        <f ca="1">IFERROR(__xludf.DUMMYFUNCTION("""COMPUTED_VALUE"""),"J")</f>
        <v>J</v>
      </c>
      <c r="G686" s="189">
        <f ca="1">IFERROR(__xludf.DUMMYFUNCTION("""COMPUTED_VALUE"""),4)</f>
        <v>4</v>
      </c>
      <c r="H686" s="196" t="s">
        <v>292</v>
      </c>
      <c r="I686" s="196"/>
      <c r="J686" s="196" t="s">
        <v>29</v>
      </c>
      <c r="K686" s="196"/>
      <c r="L686" s="196" t="str">
        <v xml:space="preserve"> 45.10</v>
      </c>
      <c r="M686" s="196"/>
    </row>
    <row r="687" spans="1:13" ht="14.4" x14ac:dyDescent="0.3">
      <c r="A687" s="189" t="str">
        <f ca="1">IFERROR(__xludf.DUMMYFUNCTION("""COMPUTED_VALUE"""),"GF")</f>
        <v>GF</v>
      </c>
      <c r="B687" s="195" t="str">
        <f ca="1">IFERROR(__xludf.DUMMYFUNCTION("""COMPUTED_VALUE"""),"Sophia Daniels")</f>
        <v>Sophia Daniels</v>
      </c>
      <c r="C687" s="189">
        <f ca="1">IFERROR(__xludf.DUMMYFUNCTION("""COMPUTED_VALUE"""),10)</f>
        <v>10</v>
      </c>
      <c r="D687" s="189" t="str">
        <f ca="1">IFERROR(__xludf.DUMMYFUNCTION("""COMPUTED_VALUE"""),"G")</f>
        <v>G</v>
      </c>
      <c r="E687" s="189" t="str">
        <f ca="1">IFERROR(__xludf.DUMMYFUNCTION("""COMPUTED_VALUE"""),"F")</f>
        <v>F</v>
      </c>
      <c r="F687" s="189" t="str">
        <f ca="1">IFERROR(__xludf.DUMMYFUNCTION("""COMPUTED_VALUE"""),"J")</f>
        <v>J</v>
      </c>
      <c r="G687" s="189">
        <f ca="1">IFERROR(__xludf.DUMMYFUNCTION("""COMPUTED_VALUE"""),4)</f>
        <v>4</v>
      </c>
      <c r="H687" s="196"/>
      <c r="I687" s="196"/>
      <c r="J687" s="196"/>
      <c r="K687" s="196"/>
      <c r="L687" s="196" t="str">
        <v/>
      </c>
      <c r="M687" s="196"/>
    </row>
    <row r="688" spans="1:13" ht="14.4" x14ac:dyDescent="0.3">
      <c r="A688" s="189" t="str">
        <f ca="1">IFERROR(__xludf.DUMMYFUNCTION("""COMPUTED_VALUE"""),"GF")</f>
        <v>GF</v>
      </c>
      <c r="B688" s="195" t="str">
        <f ca="1">IFERROR(__xludf.DUMMYFUNCTION("""COMPUTED_VALUE"""),"Tara Farid")</f>
        <v>Tara Farid</v>
      </c>
      <c r="C688" s="189">
        <f ca="1">IFERROR(__xludf.DUMMYFUNCTION("""COMPUTED_VALUE"""),7)</f>
        <v>7</v>
      </c>
      <c r="D688" s="189" t="str">
        <f ca="1">IFERROR(__xludf.DUMMYFUNCTION("""COMPUTED_VALUE"""),"G")</f>
        <v>G</v>
      </c>
      <c r="E688" s="189" t="str">
        <f ca="1">IFERROR(__xludf.DUMMYFUNCTION("""COMPUTED_VALUE"""),"F")</f>
        <v>F</v>
      </c>
      <c r="F688" s="189" t="str">
        <f ca="1">IFERROR(__xludf.DUMMYFUNCTION("""COMPUTED_VALUE"""),"J")</f>
        <v>J</v>
      </c>
      <c r="G688" s="189">
        <f ca="1">IFERROR(__xludf.DUMMYFUNCTION("""COMPUTED_VALUE"""),4)</f>
        <v>4</v>
      </c>
      <c r="H688" s="196" t="s">
        <v>293</v>
      </c>
      <c r="I688" s="196"/>
      <c r="J688" s="196" t="s">
        <v>29</v>
      </c>
      <c r="K688" s="196"/>
      <c r="L688" s="196" t="str">
        <v xml:space="preserve"> 17.75</v>
      </c>
      <c r="M688" s="196"/>
    </row>
    <row r="689" spans="1:13" ht="14.4" x14ac:dyDescent="0.3">
      <c r="A689" s="189" t="str">
        <f ca="1">IFERROR(__xludf.DUMMYFUNCTION("""COMPUTED_VALUE"""),"GF")</f>
        <v>GF</v>
      </c>
      <c r="B689" s="195" t="str">
        <f ca="1">IFERROR(__xludf.DUMMYFUNCTION("""COMPUTED_VALUE"""),"Violet Daftari")</f>
        <v>Violet Daftari</v>
      </c>
      <c r="C689" s="189">
        <f ca="1">IFERROR(__xludf.DUMMYFUNCTION("""COMPUTED_VALUE"""),8)</f>
        <v>8</v>
      </c>
      <c r="D689" s="189" t="str">
        <f ca="1">IFERROR(__xludf.DUMMYFUNCTION("""COMPUTED_VALUE"""),"G")</f>
        <v>G</v>
      </c>
      <c r="E689" s="189" t="str">
        <f ca="1">IFERROR(__xludf.DUMMYFUNCTION("""COMPUTED_VALUE"""),"F")</f>
        <v>F</v>
      </c>
      <c r="F689" s="189" t="str">
        <f ca="1">IFERROR(__xludf.DUMMYFUNCTION("""COMPUTED_VALUE"""),"J")</f>
        <v>J</v>
      </c>
      <c r="G689" s="189">
        <f ca="1">IFERROR(__xludf.DUMMYFUNCTION("""COMPUTED_VALUE"""),4)</f>
        <v>4</v>
      </c>
      <c r="H689" s="196"/>
      <c r="I689" s="196"/>
      <c r="J689" s="196"/>
      <c r="K689" s="196"/>
      <c r="L689" s="196" t="str">
        <v/>
      </c>
      <c r="M689" s="196"/>
    </row>
    <row r="690" spans="1:13" ht="14.4" x14ac:dyDescent="0.3">
      <c r="A690" s="189" t="str">
        <f ca="1">IFERROR(__xludf.DUMMYFUNCTION("""COMPUTED_VALUE"""),"GF")</f>
        <v>GF</v>
      </c>
      <c r="B690" s="195" t="str">
        <f ca="1">IFERROR(__xludf.DUMMYFUNCTION("""COMPUTED_VALUE"""),"Vivienne Bergeron")</f>
        <v>Vivienne Bergeron</v>
      </c>
      <c r="C690" s="189">
        <f ca="1">IFERROR(__xludf.DUMMYFUNCTION("""COMPUTED_VALUE"""),9)</f>
        <v>9</v>
      </c>
      <c r="D690" s="189" t="str">
        <f ca="1">IFERROR(__xludf.DUMMYFUNCTION("""COMPUTED_VALUE"""),"G")</f>
        <v>G</v>
      </c>
      <c r="E690" s="189" t="str">
        <f ca="1">IFERROR(__xludf.DUMMYFUNCTION("""COMPUTED_VALUE"""),"F")</f>
        <v>F</v>
      </c>
      <c r="F690" s="189" t="str">
        <f ca="1">IFERROR(__xludf.DUMMYFUNCTION("""COMPUTED_VALUE"""),"J")</f>
        <v>J</v>
      </c>
      <c r="G690" s="189">
        <f ca="1">IFERROR(__xludf.DUMMYFUNCTION("""COMPUTED_VALUE"""),4)</f>
        <v>4</v>
      </c>
      <c r="H690" s="196"/>
      <c r="I690" s="196"/>
      <c r="J690" s="196"/>
      <c r="K690" s="196"/>
      <c r="L690" s="196" t="str">
        <v/>
      </c>
      <c r="M690" s="196"/>
    </row>
    <row r="691" spans="1:13" ht="14.4" x14ac:dyDescent="0.3">
      <c r="A691" s="189" t="str">
        <f ca="1">IFERROR(__xludf.DUMMYFUNCTION("""COMPUTED_VALUE"""),"GF")</f>
        <v>GF</v>
      </c>
      <c r="B691" s="195" t="str">
        <f ca="1">IFERROR(__xludf.DUMMYFUNCTION("""COMPUTED_VALUE"""),"Aiden Miller")</f>
        <v>Aiden Miller</v>
      </c>
      <c r="C691" s="189">
        <f ca="1">IFERROR(__xludf.DUMMYFUNCTION("""COMPUTED_VALUE"""),9)</f>
        <v>9</v>
      </c>
      <c r="D691" s="189" t="str">
        <f ca="1">IFERROR(__xludf.DUMMYFUNCTION("""COMPUTED_VALUE"""),"B")</f>
        <v>B</v>
      </c>
      <c r="E691" s="189" t="str">
        <f ca="1">IFERROR(__xludf.DUMMYFUNCTION("""COMPUTED_VALUE"""),"F")</f>
        <v>F</v>
      </c>
      <c r="F691" s="189" t="str">
        <f ca="1">IFERROR(__xludf.DUMMYFUNCTION("""COMPUTED_VALUE"""),"J")</f>
        <v>J</v>
      </c>
      <c r="G691" s="189">
        <f ca="1">IFERROR(__xludf.DUMMYFUNCTION("""COMPUTED_VALUE"""),4)</f>
        <v>4</v>
      </c>
      <c r="H691" s="196"/>
      <c r="I691" s="196"/>
      <c r="J691" s="196"/>
      <c r="K691" s="196"/>
      <c r="L691" s="196" t="str">
        <v/>
      </c>
      <c r="M691" s="196"/>
    </row>
    <row r="692" spans="1:13" ht="14.4" x14ac:dyDescent="0.3">
      <c r="A692" s="189" t="str">
        <f ca="1">IFERROR(__xludf.DUMMYFUNCTION("""COMPUTED_VALUE"""),"GF")</f>
        <v>GF</v>
      </c>
      <c r="B692" s="195" t="str">
        <f ca="1">IFERROR(__xludf.DUMMYFUNCTION("""COMPUTED_VALUE"""),"Alex Valmont")</f>
        <v>Alex Valmont</v>
      </c>
      <c r="C692" s="189">
        <f ca="1">IFERROR(__xludf.DUMMYFUNCTION("""COMPUTED_VALUE"""),6)</f>
        <v>6</v>
      </c>
      <c r="D692" s="189" t="str">
        <f ca="1">IFERROR(__xludf.DUMMYFUNCTION("""COMPUTED_VALUE"""),"B")</f>
        <v>B</v>
      </c>
      <c r="E692" s="189" t="str">
        <f ca="1">IFERROR(__xludf.DUMMYFUNCTION("""COMPUTED_VALUE"""),"F")</f>
        <v>F</v>
      </c>
      <c r="F692" s="189" t="str">
        <f ca="1">IFERROR(__xludf.DUMMYFUNCTION("""COMPUTED_VALUE"""),"J")</f>
        <v>J</v>
      </c>
      <c r="G692" s="189">
        <f ca="1">IFERROR(__xludf.DUMMYFUNCTION("""COMPUTED_VALUE"""),4)</f>
        <v>4</v>
      </c>
      <c r="H692" s="196"/>
      <c r="I692" s="196"/>
      <c r="J692" s="196"/>
      <c r="K692" s="196"/>
      <c r="L692" s="196" t="str">
        <v/>
      </c>
      <c r="M692" s="196"/>
    </row>
    <row r="693" spans="1:13" ht="14.4" x14ac:dyDescent="0.3">
      <c r="A693" s="189" t="str">
        <f ca="1">IFERROR(__xludf.DUMMYFUNCTION("""COMPUTED_VALUE"""),"GF")</f>
        <v>GF</v>
      </c>
      <c r="B693" s="195" t="str">
        <f ca="1">IFERROR(__xludf.DUMMYFUNCTION("""COMPUTED_VALUE"""),"Amadeus Gudauskas")</f>
        <v>Amadeus Gudauskas</v>
      </c>
      <c r="C693" s="189">
        <f ca="1">IFERROR(__xludf.DUMMYFUNCTION("""COMPUTED_VALUE"""),8)</f>
        <v>8</v>
      </c>
      <c r="D693" s="189" t="str">
        <f ca="1">IFERROR(__xludf.DUMMYFUNCTION("""COMPUTED_VALUE"""),"B")</f>
        <v>B</v>
      </c>
      <c r="E693" s="189" t="str">
        <f ca="1">IFERROR(__xludf.DUMMYFUNCTION("""COMPUTED_VALUE"""),"F")</f>
        <v>F</v>
      </c>
      <c r="F693" s="189" t="str">
        <f ca="1">IFERROR(__xludf.DUMMYFUNCTION("""COMPUTED_VALUE"""),"J")</f>
        <v>J</v>
      </c>
      <c r="G693" s="189">
        <f ca="1">IFERROR(__xludf.DUMMYFUNCTION("""COMPUTED_VALUE"""),4)</f>
        <v>4</v>
      </c>
      <c r="H693" s="196"/>
      <c r="I693" s="196"/>
      <c r="J693" s="196"/>
      <c r="K693" s="196"/>
      <c r="L693" s="196" t="str">
        <v/>
      </c>
      <c r="M693" s="196"/>
    </row>
    <row r="694" spans="1:13" ht="14.4" x14ac:dyDescent="0.3">
      <c r="A694" s="189" t="str">
        <f ca="1">IFERROR(__xludf.DUMMYFUNCTION("""COMPUTED_VALUE"""),"GF")</f>
        <v>GF</v>
      </c>
      <c r="B694" s="195" t="str">
        <f ca="1">IFERROR(__xludf.DUMMYFUNCTION("""COMPUTED_VALUE"""),"Ben Baker")</f>
        <v>Ben Baker</v>
      </c>
      <c r="C694" s="189">
        <f ca="1">IFERROR(__xludf.DUMMYFUNCTION("""COMPUTED_VALUE"""),8)</f>
        <v>8</v>
      </c>
      <c r="D694" s="189" t="str">
        <f ca="1">IFERROR(__xludf.DUMMYFUNCTION("""COMPUTED_VALUE"""),"B")</f>
        <v>B</v>
      </c>
      <c r="E694" s="189" t="str">
        <f ca="1">IFERROR(__xludf.DUMMYFUNCTION("""COMPUTED_VALUE"""),"F")</f>
        <v>F</v>
      </c>
      <c r="F694" s="189" t="str">
        <f ca="1">IFERROR(__xludf.DUMMYFUNCTION("""COMPUTED_VALUE"""),"J")</f>
        <v>J</v>
      </c>
      <c r="G694" s="189">
        <f ca="1">IFERROR(__xludf.DUMMYFUNCTION("""COMPUTED_VALUE"""),4)</f>
        <v>4</v>
      </c>
      <c r="H694" s="196" t="s">
        <v>294</v>
      </c>
      <c r="I694" s="196"/>
      <c r="J694" s="196" t="s">
        <v>29</v>
      </c>
      <c r="K694" s="196"/>
      <c r="L694" s="196" t="str">
        <v xml:space="preserve"> 14.50</v>
      </c>
      <c r="M694" s="196"/>
    </row>
    <row r="695" spans="1:13" ht="14.4" x14ac:dyDescent="0.3">
      <c r="A695" s="189" t="str">
        <f ca="1">IFERROR(__xludf.DUMMYFUNCTION("""COMPUTED_VALUE"""),"GF")</f>
        <v>GF</v>
      </c>
      <c r="B695" s="195" t="str">
        <f ca="1">IFERROR(__xludf.DUMMYFUNCTION("""COMPUTED_VALUE"""),"Charlie Bennett")</f>
        <v>Charlie Bennett</v>
      </c>
      <c r="C695" s="189">
        <f ca="1">IFERROR(__xludf.DUMMYFUNCTION("""COMPUTED_VALUE"""),6)</f>
        <v>6</v>
      </c>
      <c r="D695" s="189" t="str">
        <f ca="1">IFERROR(__xludf.DUMMYFUNCTION("""COMPUTED_VALUE"""),"B")</f>
        <v>B</v>
      </c>
      <c r="E695" s="189" t="str">
        <f ca="1">IFERROR(__xludf.DUMMYFUNCTION("""COMPUTED_VALUE"""),"F")</f>
        <v>F</v>
      </c>
      <c r="F695" s="189" t="str">
        <f ca="1">IFERROR(__xludf.DUMMYFUNCTION("""COMPUTED_VALUE"""),"J")</f>
        <v>J</v>
      </c>
      <c r="G695" s="189">
        <f ca="1">IFERROR(__xludf.DUMMYFUNCTION("""COMPUTED_VALUE"""),4)</f>
        <v>4</v>
      </c>
      <c r="H695" s="196" t="s">
        <v>295</v>
      </c>
      <c r="I695" s="196"/>
      <c r="J695" s="196" t="s">
        <v>29</v>
      </c>
      <c r="K695" s="196"/>
      <c r="L695" s="196" t="str">
        <v xml:space="preserve"> 19.25</v>
      </c>
      <c r="M695" s="196"/>
    </row>
    <row r="696" spans="1:13" ht="14.4" x14ac:dyDescent="0.3">
      <c r="A696" s="189" t="str">
        <f ca="1">IFERROR(__xludf.DUMMYFUNCTION("""COMPUTED_VALUE"""),"GF")</f>
        <v>GF</v>
      </c>
      <c r="B696" s="195" t="str">
        <f ca="1">IFERROR(__xludf.DUMMYFUNCTION("""COMPUTED_VALUE"""),"Charlie Lake")</f>
        <v>Charlie Lake</v>
      </c>
      <c r="C696" s="189">
        <f ca="1">IFERROR(__xludf.DUMMYFUNCTION("""COMPUTED_VALUE"""),6)</f>
        <v>6</v>
      </c>
      <c r="D696" s="189" t="str">
        <f ca="1">IFERROR(__xludf.DUMMYFUNCTION("""COMPUTED_VALUE"""),"B")</f>
        <v>B</v>
      </c>
      <c r="E696" s="189" t="str">
        <f ca="1">IFERROR(__xludf.DUMMYFUNCTION("""COMPUTED_VALUE"""),"F")</f>
        <v>F</v>
      </c>
      <c r="F696" s="189" t="str">
        <f ca="1">IFERROR(__xludf.DUMMYFUNCTION("""COMPUTED_VALUE"""),"J")</f>
        <v>J</v>
      </c>
      <c r="G696" s="189">
        <f ca="1">IFERROR(__xludf.DUMMYFUNCTION("""COMPUTED_VALUE"""),4)</f>
        <v>4</v>
      </c>
      <c r="H696" s="196" t="s">
        <v>296</v>
      </c>
      <c r="I696" s="196"/>
      <c r="J696" s="196" t="s">
        <v>29</v>
      </c>
      <c r="K696" s="196"/>
      <c r="L696" s="196" t="str">
        <v xml:space="preserve"> 36.10</v>
      </c>
      <c r="M696" s="196"/>
    </row>
    <row r="697" spans="1:13" ht="14.4" x14ac:dyDescent="0.3">
      <c r="A697" s="189" t="str">
        <f ca="1">IFERROR(__xludf.DUMMYFUNCTION("""COMPUTED_VALUE"""),"GF")</f>
        <v>GF</v>
      </c>
      <c r="B697" s="195" t="str">
        <f ca="1">IFERROR(__xludf.DUMMYFUNCTION("""COMPUTED_VALUE"""),"Deven Todman")</f>
        <v>Deven Todman</v>
      </c>
      <c r="C697" s="189">
        <f ca="1">IFERROR(__xludf.DUMMYFUNCTION("""COMPUTED_VALUE"""),9)</f>
        <v>9</v>
      </c>
      <c r="D697" s="189" t="str">
        <f ca="1">IFERROR(__xludf.DUMMYFUNCTION("""COMPUTED_VALUE"""),"B")</f>
        <v>B</v>
      </c>
      <c r="E697" s="189" t="str">
        <f ca="1">IFERROR(__xludf.DUMMYFUNCTION("""COMPUTED_VALUE"""),"F")</f>
        <v>F</v>
      </c>
      <c r="F697" s="189" t="str">
        <f ca="1">IFERROR(__xludf.DUMMYFUNCTION("""COMPUTED_VALUE"""),"J")</f>
        <v>J</v>
      </c>
      <c r="G697" s="189">
        <f ca="1">IFERROR(__xludf.DUMMYFUNCTION("""COMPUTED_VALUE"""),4)</f>
        <v>4</v>
      </c>
      <c r="H697" s="196" t="s">
        <v>297</v>
      </c>
      <c r="I697" s="196"/>
      <c r="J697" s="196" t="s">
        <v>29</v>
      </c>
      <c r="K697" s="196"/>
      <c r="L697" s="196" t="str">
        <v xml:space="preserve"> 44.85</v>
      </c>
      <c r="M697" s="196"/>
    </row>
    <row r="698" spans="1:13" ht="14.4" x14ac:dyDescent="0.3">
      <c r="A698" s="189" t="str">
        <f ca="1">IFERROR(__xludf.DUMMYFUNCTION("""COMPUTED_VALUE"""),"GF")</f>
        <v>GF</v>
      </c>
      <c r="B698" s="195" t="str">
        <f ca="1">IFERROR(__xludf.DUMMYFUNCTION("""COMPUTED_VALUE"""),"Gianluca Bucelli")</f>
        <v>Gianluca Bucelli</v>
      </c>
      <c r="C698" s="189">
        <f ca="1">IFERROR(__xludf.DUMMYFUNCTION("""COMPUTED_VALUE"""),8)</f>
        <v>8</v>
      </c>
      <c r="D698" s="189" t="str">
        <f ca="1">IFERROR(__xludf.DUMMYFUNCTION("""COMPUTED_VALUE"""),"B")</f>
        <v>B</v>
      </c>
      <c r="E698" s="189" t="str">
        <f ca="1">IFERROR(__xludf.DUMMYFUNCTION("""COMPUTED_VALUE"""),"F")</f>
        <v>F</v>
      </c>
      <c r="F698" s="189" t="str">
        <f ca="1">IFERROR(__xludf.DUMMYFUNCTION("""COMPUTED_VALUE"""),"J")</f>
        <v>J</v>
      </c>
      <c r="G698" s="189">
        <f ca="1">IFERROR(__xludf.DUMMYFUNCTION("""COMPUTED_VALUE"""),4)</f>
        <v>4</v>
      </c>
      <c r="H698" s="196"/>
      <c r="I698" s="196"/>
      <c r="J698" s="196"/>
      <c r="K698" s="196"/>
      <c r="L698" s="196" t="str">
        <v/>
      </c>
      <c r="M698" s="196"/>
    </row>
    <row r="699" spans="1:13" ht="14.4" x14ac:dyDescent="0.3">
      <c r="A699" s="189" t="str">
        <f ca="1">IFERROR(__xludf.DUMMYFUNCTION("""COMPUTED_VALUE"""),"GF")</f>
        <v>GF</v>
      </c>
      <c r="B699" s="195" t="str">
        <f ca="1">IFERROR(__xludf.DUMMYFUNCTION("""COMPUTED_VALUE"""),"Holden Johnson")</f>
        <v>Holden Johnson</v>
      </c>
      <c r="C699" s="189">
        <f ca="1">IFERROR(__xludf.DUMMYFUNCTION("""COMPUTED_VALUE"""),7)</f>
        <v>7</v>
      </c>
      <c r="D699" s="189" t="str">
        <f ca="1">IFERROR(__xludf.DUMMYFUNCTION("""COMPUTED_VALUE"""),"B")</f>
        <v>B</v>
      </c>
      <c r="E699" s="189" t="str">
        <f ca="1">IFERROR(__xludf.DUMMYFUNCTION("""COMPUTED_VALUE"""),"F")</f>
        <v>F</v>
      </c>
      <c r="F699" s="189" t="str">
        <f ca="1">IFERROR(__xludf.DUMMYFUNCTION("""COMPUTED_VALUE"""),"J")</f>
        <v>J</v>
      </c>
      <c r="G699" s="189">
        <f ca="1">IFERROR(__xludf.DUMMYFUNCTION("""COMPUTED_VALUE"""),4)</f>
        <v>4</v>
      </c>
      <c r="H699" s="196"/>
      <c r="I699" s="196"/>
      <c r="J699" s="196"/>
      <c r="K699" s="196"/>
      <c r="L699" s="196" t="str">
        <v/>
      </c>
      <c r="M699" s="196"/>
    </row>
    <row r="700" spans="1:13" ht="14.4" x14ac:dyDescent="0.3">
      <c r="A700" s="189" t="str">
        <f ca="1">IFERROR(__xludf.DUMMYFUNCTION("""COMPUTED_VALUE"""),"GF")</f>
        <v>GF</v>
      </c>
      <c r="B700" s="195" t="str">
        <f ca="1">IFERROR(__xludf.DUMMYFUNCTION("""COMPUTED_VALUE"""),"Hugo Kroely")</f>
        <v>Hugo Kroely</v>
      </c>
      <c r="C700" s="189">
        <f ca="1">IFERROR(__xludf.DUMMYFUNCTION("""COMPUTED_VALUE"""),6)</f>
        <v>6</v>
      </c>
      <c r="D700" s="189" t="str">
        <f ca="1">IFERROR(__xludf.DUMMYFUNCTION("""COMPUTED_VALUE"""),"B")</f>
        <v>B</v>
      </c>
      <c r="E700" s="189" t="str">
        <f ca="1">IFERROR(__xludf.DUMMYFUNCTION("""COMPUTED_VALUE"""),"F")</f>
        <v>F</v>
      </c>
      <c r="F700" s="189" t="str">
        <f ca="1">IFERROR(__xludf.DUMMYFUNCTION("""COMPUTED_VALUE"""),"J")</f>
        <v>J</v>
      </c>
      <c r="G700" s="189">
        <f ca="1">IFERROR(__xludf.DUMMYFUNCTION("""COMPUTED_VALUE"""),4)</f>
        <v>4</v>
      </c>
      <c r="H700" s="196" t="s">
        <v>298</v>
      </c>
      <c r="I700" s="196"/>
      <c r="J700" s="196" t="s">
        <v>29</v>
      </c>
      <c r="K700" s="196"/>
      <c r="L700" s="196" t="str">
        <v xml:space="preserve"> 31.60</v>
      </c>
      <c r="M700" s="196"/>
    </row>
    <row r="701" spans="1:13" ht="14.4" x14ac:dyDescent="0.3">
      <c r="A701" s="189" t="str">
        <f ca="1">IFERROR(__xludf.DUMMYFUNCTION("""COMPUTED_VALUE"""),"GF")</f>
        <v>GF</v>
      </c>
      <c r="B701" s="195" t="str">
        <f ca="1">IFERROR(__xludf.DUMMYFUNCTION("""COMPUTED_VALUE"""),"James Lake")</f>
        <v>James Lake</v>
      </c>
      <c r="C701" s="189">
        <f ca="1">IFERROR(__xludf.DUMMYFUNCTION("""COMPUTED_VALUE"""),7)</f>
        <v>7</v>
      </c>
      <c r="D701" s="189" t="str">
        <f ca="1">IFERROR(__xludf.DUMMYFUNCTION("""COMPUTED_VALUE"""),"B")</f>
        <v>B</v>
      </c>
      <c r="E701" s="189" t="str">
        <f ca="1">IFERROR(__xludf.DUMMYFUNCTION("""COMPUTED_VALUE"""),"F")</f>
        <v>F</v>
      </c>
      <c r="F701" s="189" t="str">
        <f ca="1">IFERROR(__xludf.DUMMYFUNCTION("""COMPUTED_VALUE"""),"J")</f>
        <v>J</v>
      </c>
      <c r="G701" s="189">
        <f ca="1">IFERROR(__xludf.DUMMYFUNCTION("""COMPUTED_VALUE"""),4)</f>
        <v>4</v>
      </c>
      <c r="H701" s="196" t="s">
        <v>299</v>
      </c>
      <c r="I701" s="196"/>
      <c r="J701" s="196" t="s">
        <v>29</v>
      </c>
      <c r="K701" s="196"/>
      <c r="L701" s="196" t="str">
        <v xml:space="preserve"> 42.90</v>
      </c>
      <c r="M701" s="196"/>
    </row>
    <row r="702" spans="1:13" ht="14.4" x14ac:dyDescent="0.3">
      <c r="A702" s="189" t="str">
        <f ca="1">IFERROR(__xludf.DUMMYFUNCTION("""COMPUTED_VALUE"""),"GF")</f>
        <v>GF</v>
      </c>
      <c r="B702" s="195" t="str">
        <f ca="1">IFERROR(__xludf.DUMMYFUNCTION("""COMPUTED_VALUE"""),"Landon Lucey")</f>
        <v>Landon Lucey</v>
      </c>
      <c r="C702" s="189">
        <f ca="1">IFERROR(__xludf.DUMMYFUNCTION("""COMPUTED_VALUE"""),9)</f>
        <v>9</v>
      </c>
      <c r="D702" s="189" t="str">
        <f ca="1">IFERROR(__xludf.DUMMYFUNCTION("""COMPUTED_VALUE"""),"B")</f>
        <v>B</v>
      </c>
      <c r="E702" s="189" t="str">
        <f ca="1">IFERROR(__xludf.DUMMYFUNCTION("""COMPUTED_VALUE"""),"F")</f>
        <v>F</v>
      </c>
      <c r="F702" s="189" t="str">
        <f ca="1">IFERROR(__xludf.DUMMYFUNCTION("""COMPUTED_VALUE"""),"J")</f>
        <v>J</v>
      </c>
      <c r="G702" s="189">
        <f ca="1">IFERROR(__xludf.DUMMYFUNCTION("""COMPUTED_VALUE"""),4)</f>
        <v>4</v>
      </c>
      <c r="H702" s="196"/>
      <c r="I702" s="196"/>
      <c r="J702" s="196"/>
      <c r="K702" s="196"/>
      <c r="L702" s="196" t="str">
        <v/>
      </c>
      <c r="M702" s="196"/>
    </row>
    <row r="703" spans="1:13" ht="14.4" x14ac:dyDescent="0.3">
      <c r="A703" s="189" t="str">
        <f ca="1">IFERROR(__xludf.DUMMYFUNCTION("""COMPUTED_VALUE"""),"GF")</f>
        <v>GF</v>
      </c>
      <c r="B703" s="195" t="str">
        <f ca="1">IFERROR(__xludf.DUMMYFUNCTION("""COMPUTED_VALUE"""),"Landon Stang")</f>
        <v>Landon Stang</v>
      </c>
      <c r="C703" s="189">
        <f ca="1">IFERROR(__xludf.DUMMYFUNCTION("""COMPUTED_VALUE"""),8)</f>
        <v>8</v>
      </c>
      <c r="D703" s="189" t="str">
        <f ca="1">IFERROR(__xludf.DUMMYFUNCTION("""COMPUTED_VALUE"""),"B")</f>
        <v>B</v>
      </c>
      <c r="E703" s="189" t="str">
        <f ca="1">IFERROR(__xludf.DUMMYFUNCTION("""COMPUTED_VALUE"""),"F")</f>
        <v>F</v>
      </c>
      <c r="F703" s="189" t="str">
        <f ca="1">IFERROR(__xludf.DUMMYFUNCTION("""COMPUTED_VALUE"""),"J")</f>
        <v>J</v>
      </c>
      <c r="G703" s="189">
        <f ca="1">IFERROR(__xludf.DUMMYFUNCTION("""COMPUTED_VALUE"""),4)</f>
        <v>4</v>
      </c>
      <c r="H703" s="196"/>
      <c r="I703" s="196"/>
      <c r="J703" s="196"/>
      <c r="K703" s="196"/>
      <c r="L703" s="196" t="str">
        <v/>
      </c>
      <c r="M703" s="196"/>
    </row>
    <row r="704" spans="1:13" ht="14.4" x14ac:dyDescent="0.3">
      <c r="A704" s="189" t="str">
        <f ca="1">IFERROR(__xludf.DUMMYFUNCTION("""COMPUTED_VALUE"""),"GF")</f>
        <v>GF</v>
      </c>
      <c r="B704" s="195" t="str">
        <f ca="1">IFERROR(__xludf.DUMMYFUNCTION("""COMPUTED_VALUE"""),"Luke Bergeron")</f>
        <v>Luke Bergeron</v>
      </c>
      <c r="C704" s="189">
        <f ca="1">IFERROR(__xludf.DUMMYFUNCTION("""COMPUTED_VALUE"""),7)</f>
        <v>7</v>
      </c>
      <c r="D704" s="189" t="str">
        <f ca="1">IFERROR(__xludf.DUMMYFUNCTION("""COMPUTED_VALUE"""),"B")</f>
        <v>B</v>
      </c>
      <c r="E704" s="189" t="str">
        <f ca="1">IFERROR(__xludf.DUMMYFUNCTION("""COMPUTED_VALUE"""),"F")</f>
        <v>F</v>
      </c>
      <c r="F704" s="189" t="str">
        <f ca="1">IFERROR(__xludf.DUMMYFUNCTION("""COMPUTED_VALUE"""),"J")</f>
        <v>J</v>
      </c>
      <c r="G704" s="189">
        <f ca="1">IFERROR(__xludf.DUMMYFUNCTION("""COMPUTED_VALUE"""),4)</f>
        <v>4</v>
      </c>
      <c r="H704" s="196"/>
      <c r="I704" s="196"/>
      <c r="J704" s="196"/>
      <c r="K704" s="196"/>
      <c r="L704" s="196" t="str">
        <v/>
      </c>
      <c r="M704" s="196"/>
    </row>
    <row r="705" spans="1:13" ht="14.4" x14ac:dyDescent="0.3">
      <c r="A705" s="189" t="str">
        <f ca="1">IFERROR(__xludf.DUMMYFUNCTION("""COMPUTED_VALUE"""),"GF")</f>
        <v>GF</v>
      </c>
      <c r="B705" s="195" t="str">
        <f ca="1">IFERROR(__xludf.DUMMYFUNCTION("""COMPUTED_VALUE"""),"Max Damjan")</f>
        <v>Max Damjan</v>
      </c>
      <c r="C705" s="189">
        <f ca="1">IFERROR(__xludf.DUMMYFUNCTION("""COMPUTED_VALUE"""),10)</f>
        <v>10</v>
      </c>
      <c r="D705" s="189" t="str">
        <f ca="1">IFERROR(__xludf.DUMMYFUNCTION("""COMPUTED_VALUE"""),"B")</f>
        <v>B</v>
      </c>
      <c r="E705" s="189" t="str">
        <f ca="1">IFERROR(__xludf.DUMMYFUNCTION("""COMPUTED_VALUE"""),"F")</f>
        <v>F</v>
      </c>
      <c r="F705" s="189" t="str">
        <f ca="1">IFERROR(__xludf.DUMMYFUNCTION("""COMPUTED_VALUE"""),"J")</f>
        <v>J</v>
      </c>
      <c r="G705" s="189">
        <f ca="1">IFERROR(__xludf.DUMMYFUNCTION("""COMPUTED_VALUE"""),4)</f>
        <v>4</v>
      </c>
      <c r="H705" s="196" t="s">
        <v>300</v>
      </c>
      <c r="I705" s="196"/>
      <c r="J705" s="196" t="s">
        <v>29</v>
      </c>
      <c r="K705" s="196"/>
      <c r="L705" s="196" t="str">
        <v xml:space="preserve"> 37.80</v>
      </c>
      <c r="M705" s="196"/>
    </row>
    <row r="706" spans="1:13" ht="14.4" x14ac:dyDescent="0.3">
      <c r="A706" s="189" t="str">
        <f ca="1">IFERROR(__xludf.DUMMYFUNCTION("""COMPUTED_VALUE"""),"GF")</f>
        <v>GF</v>
      </c>
      <c r="B706" s="195" t="str">
        <f ca="1">IFERROR(__xludf.DUMMYFUNCTION("""COMPUTED_VALUE"""),"Max McKnight")</f>
        <v>Max McKnight</v>
      </c>
      <c r="C706" s="189">
        <f ca="1">IFERROR(__xludf.DUMMYFUNCTION("""COMPUTED_VALUE"""),8)</f>
        <v>8</v>
      </c>
      <c r="D706" s="189" t="str">
        <f ca="1">IFERROR(__xludf.DUMMYFUNCTION("""COMPUTED_VALUE"""),"B")</f>
        <v>B</v>
      </c>
      <c r="E706" s="189" t="str">
        <f ca="1">IFERROR(__xludf.DUMMYFUNCTION("""COMPUTED_VALUE"""),"F")</f>
        <v>F</v>
      </c>
      <c r="F706" s="189" t="str">
        <f ca="1">IFERROR(__xludf.DUMMYFUNCTION("""COMPUTED_VALUE"""),"J")</f>
        <v>J</v>
      </c>
      <c r="G706" s="189">
        <f ca="1">IFERROR(__xludf.DUMMYFUNCTION("""COMPUTED_VALUE"""),4)</f>
        <v>4</v>
      </c>
      <c r="H706" s="196" t="s">
        <v>301</v>
      </c>
      <c r="I706" s="196"/>
      <c r="J706" s="196" t="s">
        <v>29</v>
      </c>
      <c r="K706" s="196"/>
      <c r="L706" s="196" t="str">
        <v xml:space="preserve"> 26.20</v>
      </c>
      <c r="M706" s="196"/>
    </row>
    <row r="707" spans="1:13" ht="14.4" x14ac:dyDescent="0.3">
      <c r="A707" s="189" t="str">
        <f ca="1">IFERROR(__xludf.DUMMYFUNCTION("""COMPUTED_VALUE"""),"GF")</f>
        <v>GF</v>
      </c>
      <c r="B707" s="195" t="str">
        <f ca="1">IFERROR(__xludf.DUMMYFUNCTION("""COMPUTED_VALUE"""),"Pierre Kroely")</f>
        <v>Pierre Kroely</v>
      </c>
      <c r="C707" s="189">
        <f ca="1">IFERROR(__xludf.DUMMYFUNCTION("""COMPUTED_VALUE"""),9)</f>
        <v>9</v>
      </c>
      <c r="D707" s="189" t="str">
        <f ca="1">IFERROR(__xludf.DUMMYFUNCTION("""COMPUTED_VALUE"""),"B")</f>
        <v>B</v>
      </c>
      <c r="E707" s="189" t="str">
        <f ca="1">IFERROR(__xludf.DUMMYFUNCTION("""COMPUTED_VALUE"""),"F")</f>
        <v>F</v>
      </c>
      <c r="F707" s="189" t="str">
        <f ca="1">IFERROR(__xludf.DUMMYFUNCTION("""COMPUTED_VALUE"""),"J")</f>
        <v>J</v>
      </c>
      <c r="G707" s="189">
        <f ca="1">IFERROR(__xludf.DUMMYFUNCTION("""COMPUTED_VALUE"""),4)</f>
        <v>4</v>
      </c>
      <c r="H707" s="196" t="s">
        <v>302</v>
      </c>
      <c r="I707" s="196"/>
      <c r="J707" s="196" t="s">
        <v>64</v>
      </c>
      <c r="K707" s="196"/>
      <c r="L707" s="196" t="str">
        <v xml:space="preserve"> -60.45</v>
      </c>
      <c r="M707" s="196"/>
    </row>
    <row r="708" spans="1:13" ht="14.4" x14ac:dyDescent="0.3">
      <c r="A708" s="189" t="str">
        <f ca="1">IFERROR(__xludf.DUMMYFUNCTION("""COMPUTED_VALUE"""),"GF")</f>
        <v>GF</v>
      </c>
      <c r="B708" s="195" t="str">
        <f ca="1">IFERROR(__xludf.DUMMYFUNCTION("""COMPUTED_VALUE"""),"Sasha Gilstrap")</f>
        <v>Sasha Gilstrap</v>
      </c>
      <c r="C708" s="189">
        <f ca="1">IFERROR(__xludf.DUMMYFUNCTION("""COMPUTED_VALUE"""),10)</f>
        <v>10</v>
      </c>
      <c r="D708" s="189" t="str">
        <f ca="1">IFERROR(__xludf.DUMMYFUNCTION("""COMPUTED_VALUE"""),"B")</f>
        <v>B</v>
      </c>
      <c r="E708" s="189" t="str">
        <f ca="1">IFERROR(__xludf.DUMMYFUNCTION("""COMPUTED_VALUE"""),"F")</f>
        <v>F</v>
      </c>
      <c r="F708" s="189" t="str">
        <f ca="1">IFERROR(__xludf.DUMMYFUNCTION("""COMPUTED_VALUE"""),"J")</f>
        <v>J</v>
      </c>
      <c r="G708" s="189">
        <f ca="1">IFERROR(__xludf.DUMMYFUNCTION("""COMPUTED_VALUE"""),4)</f>
        <v>4</v>
      </c>
      <c r="H708" s="196"/>
      <c r="I708" s="196"/>
      <c r="J708" s="196"/>
      <c r="K708" s="196"/>
      <c r="L708" s="196" t="str">
        <v/>
      </c>
      <c r="M708" s="196"/>
    </row>
    <row r="709" spans="1:13" ht="14.4" x14ac:dyDescent="0.3">
      <c r="A709" s="189" t="str">
        <f ca="1">IFERROR(__xludf.DUMMYFUNCTION("""COMPUTED_VALUE"""),"GF")</f>
        <v>GF</v>
      </c>
      <c r="B709" s="195" t="str">
        <f ca="1">IFERROR(__xludf.DUMMYFUNCTION("""COMPUTED_VALUE"""),"Daliyah McKimmy")</f>
        <v>Daliyah McKimmy</v>
      </c>
      <c r="C709" s="189">
        <f ca="1">IFERROR(__xludf.DUMMYFUNCTION("""COMPUTED_VALUE"""),13)</f>
        <v>13</v>
      </c>
      <c r="D709" s="189" t="str">
        <f ca="1">IFERROR(__xludf.DUMMYFUNCTION("""COMPUTED_VALUE"""),"G")</f>
        <v>G</v>
      </c>
      <c r="E709" s="189" t="str">
        <f ca="1">IFERROR(__xludf.DUMMYFUNCTION("""COMPUTED_VALUE"""),"I")</f>
        <v>I</v>
      </c>
      <c r="F709" s="189" t="str">
        <f ca="1">IFERROR(__xludf.DUMMYFUNCTION("""COMPUTED_VALUE"""),"S")</f>
        <v>S</v>
      </c>
      <c r="G709" s="189">
        <f ca="1">IFERROR(__xludf.DUMMYFUNCTION("""COMPUTED_VALUE"""),4)</f>
        <v>4</v>
      </c>
      <c r="H709" s="196"/>
      <c r="I709" s="196"/>
      <c r="J709" s="196"/>
      <c r="K709" s="196"/>
      <c r="L709" s="196" t="str">
        <v/>
      </c>
      <c r="M709" s="196"/>
    </row>
    <row r="710" spans="1:13" ht="14.4" x14ac:dyDescent="0.3">
      <c r="A710" s="189" t="str">
        <f ca="1">IFERROR(__xludf.DUMMYFUNCTION("""COMPUTED_VALUE"""),"GF")</f>
        <v>GF</v>
      </c>
      <c r="B710" s="195" t="str">
        <f ca="1">IFERROR(__xludf.DUMMYFUNCTION("""COMPUTED_VALUE"""),"Halia Ochieng")</f>
        <v>Halia Ochieng</v>
      </c>
      <c r="C710" s="189">
        <f ca="1">IFERROR(__xludf.DUMMYFUNCTION("""COMPUTED_VALUE"""),13)</f>
        <v>13</v>
      </c>
      <c r="D710" s="189" t="str">
        <f ca="1">IFERROR(__xludf.DUMMYFUNCTION("""COMPUTED_VALUE"""),"G")</f>
        <v>G</v>
      </c>
      <c r="E710" s="189" t="str">
        <f ca="1">IFERROR(__xludf.DUMMYFUNCTION("""COMPUTED_VALUE"""),"I")</f>
        <v>I</v>
      </c>
      <c r="F710" s="189" t="str">
        <f ca="1">IFERROR(__xludf.DUMMYFUNCTION("""COMPUTED_VALUE"""),"S")</f>
        <v>S</v>
      </c>
      <c r="G710" s="189">
        <f ca="1">IFERROR(__xludf.DUMMYFUNCTION("""COMPUTED_VALUE"""),4)</f>
        <v>4</v>
      </c>
      <c r="H710" s="196"/>
      <c r="I710" s="196"/>
      <c r="J710" s="196"/>
      <c r="K710" s="196"/>
      <c r="L710" s="196" t="str">
        <v/>
      </c>
      <c r="M710" s="196"/>
    </row>
    <row r="711" spans="1:13" ht="14.4" x14ac:dyDescent="0.3">
      <c r="A711" s="189" t="str">
        <f ca="1">IFERROR(__xludf.DUMMYFUNCTION("""COMPUTED_VALUE"""),"GF")</f>
        <v>GF</v>
      </c>
      <c r="B711" s="195" t="str">
        <f ca="1">IFERROR(__xludf.DUMMYFUNCTION("""COMPUTED_VALUE"""),"Lexa Landi")</f>
        <v>Lexa Landi</v>
      </c>
      <c r="C711" s="189">
        <f ca="1">IFERROR(__xludf.DUMMYFUNCTION("""COMPUTED_VALUE"""),13)</f>
        <v>13</v>
      </c>
      <c r="D711" s="189" t="str">
        <f ca="1">IFERROR(__xludf.DUMMYFUNCTION("""COMPUTED_VALUE"""),"G")</f>
        <v>G</v>
      </c>
      <c r="E711" s="189" t="str">
        <f ca="1">IFERROR(__xludf.DUMMYFUNCTION("""COMPUTED_VALUE"""),"I")</f>
        <v>I</v>
      </c>
      <c r="F711" s="189" t="str">
        <f ca="1">IFERROR(__xludf.DUMMYFUNCTION("""COMPUTED_VALUE"""),"S")</f>
        <v>S</v>
      </c>
      <c r="G711" s="189">
        <f ca="1">IFERROR(__xludf.DUMMYFUNCTION("""COMPUTED_VALUE"""),4)</f>
        <v>4</v>
      </c>
      <c r="H711" s="196" t="s">
        <v>303</v>
      </c>
      <c r="I711" s="196"/>
      <c r="J711" s="196" t="s">
        <v>29</v>
      </c>
      <c r="K711" s="196"/>
      <c r="L711" s="196" t="str">
        <v xml:space="preserve"> DQ</v>
      </c>
      <c r="M711" s="196"/>
    </row>
    <row r="712" spans="1:13" ht="14.4" x14ac:dyDescent="0.3">
      <c r="A712" s="189" t="str">
        <f ca="1">IFERROR(__xludf.DUMMYFUNCTION("""COMPUTED_VALUE"""),"GF")</f>
        <v>GF</v>
      </c>
      <c r="B712" s="195" t="str">
        <f ca="1">IFERROR(__xludf.DUMMYFUNCTION("""COMPUTED_VALUE"""),"Meri Fowler")</f>
        <v>Meri Fowler</v>
      </c>
      <c r="C712" s="189">
        <f ca="1">IFERROR(__xludf.DUMMYFUNCTION("""COMPUTED_VALUE"""),13)</f>
        <v>13</v>
      </c>
      <c r="D712" s="189" t="str">
        <f ca="1">IFERROR(__xludf.DUMMYFUNCTION("""COMPUTED_VALUE"""),"G")</f>
        <v>G</v>
      </c>
      <c r="E712" s="189" t="str">
        <f ca="1">IFERROR(__xludf.DUMMYFUNCTION("""COMPUTED_VALUE"""),"I")</f>
        <v>I</v>
      </c>
      <c r="F712" s="189" t="str">
        <f ca="1">IFERROR(__xludf.DUMMYFUNCTION("""COMPUTED_VALUE"""),"S")</f>
        <v>S</v>
      </c>
      <c r="G712" s="189">
        <f ca="1">IFERROR(__xludf.DUMMYFUNCTION("""COMPUTED_VALUE"""),4)</f>
        <v>4</v>
      </c>
      <c r="H712" s="196" t="s">
        <v>304</v>
      </c>
      <c r="I712" s="196"/>
      <c r="J712" s="196" t="s">
        <v>29</v>
      </c>
      <c r="K712" s="196"/>
      <c r="L712" s="196" t="str">
        <v xml:space="preserve"> 101.75</v>
      </c>
      <c r="M712" s="196"/>
    </row>
    <row r="713" spans="1:13" ht="14.4" x14ac:dyDescent="0.3">
      <c r="A713" s="189" t="str">
        <f ca="1">IFERROR(__xludf.DUMMYFUNCTION("""COMPUTED_VALUE"""),"GF")</f>
        <v>GF</v>
      </c>
      <c r="B713" s="195" t="str">
        <f ca="1">IFERROR(__xludf.DUMMYFUNCTION("""COMPUTED_VALUE"""),"Christopher Daniels")</f>
        <v>Christopher Daniels</v>
      </c>
      <c r="C713" s="189">
        <f ca="1">IFERROR(__xludf.DUMMYFUNCTION("""COMPUTED_VALUE"""),13)</f>
        <v>13</v>
      </c>
      <c r="D713" s="189" t="str">
        <f ca="1">IFERROR(__xludf.DUMMYFUNCTION("""COMPUTED_VALUE"""),"B")</f>
        <v>B</v>
      </c>
      <c r="E713" s="189" t="str">
        <f ca="1">IFERROR(__xludf.DUMMYFUNCTION("""COMPUTED_VALUE"""),"I")</f>
        <v>I</v>
      </c>
      <c r="F713" s="189" t="str">
        <f ca="1">IFERROR(__xludf.DUMMYFUNCTION("""COMPUTED_VALUE"""),"S")</f>
        <v>S</v>
      </c>
      <c r="G713" s="189">
        <f ca="1">IFERROR(__xludf.DUMMYFUNCTION("""COMPUTED_VALUE"""),4)</f>
        <v>4</v>
      </c>
      <c r="H713" s="196"/>
      <c r="I713" s="196"/>
      <c r="J713" s="196"/>
      <c r="K713" s="196"/>
      <c r="L713" s="196" t="str">
        <v/>
      </c>
      <c r="M713" s="196"/>
    </row>
    <row r="714" spans="1:13" ht="14.4" x14ac:dyDescent="0.3">
      <c r="A714" s="189" t="str">
        <f ca="1">IFERROR(__xludf.DUMMYFUNCTION("""COMPUTED_VALUE"""),"GF")</f>
        <v>GF</v>
      </c>
      <c r="B714" s="195" t="str">
        <f ca="1">IFERROR(__xludf.DUMMYFUNCTION("""COMPUTED_VALUE"""),"Vin Landi")</f>
        <v>Vin Landi</v>
      </c>
      <c r="C714" s="189">
        <f ca="1">IFERROR(__xludf.DUMMYFUNCTION("""COMPUTED_VALUE"""),14)</f>
        <v>14</v>
      </c>
      <c r="D714" s="189" t="str">
        <f ca="1">IFERROR(__xludf.DUMMYFUNCTION("""COMPUTED_VALUE"""),"B")</f>
        <v>B</v>
      </c>
      <c r="E714" s="189" t="str">
        <f ca="1">IFERROR(__xludf.DUMMYFUNCTION("""COMPUTED_VALUE"""),"I")</f>
        <v>I</v>
      </c>
      <c r="F714" s="189" t="str">
        <f ca="1">IFERROR(__xludf.DUMMYFUNCTION("""COMPUTED_VALUE"""),"S")</f>
        <v>S</v>
      </c>
      <c r="G714" s="189">
        <f ca="1">IFERROR(__xludf.DUMMYFUNCTION("""COMPUTED_VALUE"""),4)</f>
        <v>4</v>
      </c>
      <c r="H714" s="196" t="s">
        <v>305</v>
      </c>
      <c r="I714" s="196"/>
      <c r="J714" s="196" t="s">
        <v>29</v>
      </c>
      <c r="K714" s="196"/>
      <c r="L714" s="196" t="str">
        <v xml:space="preserve"> 89.75</v>
      </c>
      <c r="M714" s="196"/>
    </row>
    <row r="715" spans="1:13" ht="14.4" x14ac:dyDescent="0.3">
      <c r="A715" s="189" t="str">
        <f ca="1">IFERROR(__xludf.DUMMYFUNCTION("""COMPUTED_VALUE"""),"GF")</f>
        <v>GF</v>
      </c>
      <c r="B715" s="195" t="str">
        <f ca="1">IFERROR(__xludf.DUMMYFUNCTION("""COMPUTED_VALUE"""),"Aletheia Wiley-Jimenez")</f>
        <v>Aletheia Wiley-Jimenez</v>
      </c>
      <c r="C715" s="189">
        <f ca="1">IFERROR(__xludf.DUMMYFUNCTION("""COMPUTED_VALUE"""),11)</f>
        <v>11</v>
      </c>
      <c r="D715" s="189" t="str">
        <f ca="1">IFERROR(__xludf.DUMMYFUNCTION("""COMPUTED_VALUE"""),"G")</f>
        <v>G</v>
      </c>
      <c r="E715" s="189" t="str">
        <f ca="1">IFERROR(__xludf.DUMMYFUNCTION("""COMPUTED_VALUE"""),"J")</f>
        <v>J</v>
      </c>
      <c r="F715" s="189" t="str">
        <f ca="1">IFERROR(__xludf.DUMMYFUNCTION("""COMPUTED_VALUE"""),"I")</f>
        <v>I</v>
      </c>
      <c r="G715" s="189">
        <f ca="1">IFERROR(__xludf.DUMMYFUNCTION("""COMPUTED_VALUE"""),4)</f>
        <v>4</v>
      </c>
      <c r="H715" s="196" t="s">
        <v>306</v>
      </c>
      <c r="I715" s="196"/>
      <c r="J715" s="196" t="s">
        <v>29</v>
      </c>
      <c r="K715" s="196"/>
      <c r="L715" s="196" t="str">
        <v xml:space="preserve"> 65.75</v>
      </c>
      <c r="M715" s="196"/>
    </row>
    <row r="716" spans="1:13" ht="14.4" x14ac:dyDescent="0.3">
      <c r="A716" s="189" t="str">
        <f ca="1">IFERROR(__xludf.DUMMYFUNCTION("""COMPUTED_VALUE"""),"GF")</f>
        <v>GF</v>
      </c>
      <c r="B716" s="195" t="str">
        <f ca="1">IFERROR(__xludf.DUMMYFUNCTION("""COMPUTED_VALUE"""),"Ari Wiley-Jimenez")</f>
        <v>Ari Wiley-Jimenez</v>
      </c>
      <c r="C716" s="189">
        <f ca="1">IFERROR(__xludf.DUMMYFUNCTION("""COMPUTED_VALUE"""),11)</f>
        <v>11</v>
      </c>
      <c r="D716" s="189" t="str">
        <f ca="1">IFERROR(__xludf.DUMMYFUNCTION("""COMPUTED_VALUE"""),"G")</f>
        <v>G</v>
      </c>
      <c r="E716" s="189" t="str">
        <f ca="1">IFERROR(__xludf.DUMMYFUNCTION("""COMPUTED_VALUE"""),"J")</f>
        <v>J</v>
      </c>
      <c r="F716" s="189" t="str">
        <f ca="1">IFERROR(__xludf.DUMMYFUNCTION("""COMPUTED_VALUE"""),"I")</f>
        <v>I</v>
      </c>
      <c r="G716" s="189">
        <f ca="1">IFERROR(__xludf.DUMMYFUNCTION("""COMPUTED_VALUE"""),4)</f>
        <v>4</v>
      </c>
      <c r="H716" s="196" t="s">
        <v>307</v>
      </c>
      <c r="I716" s="196"/>
      <c r="J716" s="196" t="s">
        <v>29</v>
      </c>
      <c r="K716" s="196"/>
      <c r="L716" s="196" t="str">
        <v xml:space="preserve"> 72.40</v>
      </c>
      <c r="M716" s="196"/>
    </row>
    <row r="717" spans="1:13" ht="14.4" x14ac:dyDescent="0.3">
      <c r="A717" s="189" t="str">
        <f ca="1">IFERROR(__xludf.DUMMYFUNCTION("""COMPUTED_VALUE"""),"GF")</f>
        <v>GF</v>
      </c>
      <c r="B717" s="195" t="str">
        <f ca="1">IFERROR(__xludf.DUMMYFUNCTION("""COMPUTED_VALUE"""),"Bennett Barletta")</f>
        <v>Bennett Barletta</v>
      </c>
      <c r="C717" s="189">
        <f ca="1">IFERROR(__xludf.DUMMYFUNCTION("""COMPUTED_VALUE"""),12)</f>
        <v>12</v>
      </c>
      <c r="D717" s="189" t="str">
        <f ca="1">IFERROR(__xludf.DUMMYFUNCTION("""COMPUTED_VALUE"""),"G")</f>
        <v>G</v>
      </c>
      <c r="E717" s="189" t="str">
        <f ca="1">IFERROR(__xludf.DUMMYFUNCTION("""COMPUTED_VALUE"""),"J")</f>
        <v>J</v>
      </c>
      <c r="F717" s="189" t="str">
        <f ca="1">IFERROR(__xludf.DUMMYFUNCTION("""COMPUTED_VALUE"""),"I")</f>
        <v>I</v>
      </c>
      <c r="G717" s="189">
        <f ca="1">IFERROR(__xludf.DUMMYFUNCTION("""COMPUTED_VALUE"""),4)</f>
        <v>4</v>
      </c>
      <c r="H717" s="196" t="s">
        <v>308</v>
      </c>
      <c r="I717" s="196"/>
      <c r="J717" s="196" t="s">
        <v>29</v>
      </c>
      <c r="K717" s="196"/>
      <c r="L717" s="196" t="str">
        <v xml:space="preserve"> 48.30</v>
      </c>
      <c r="M717" s="196"/>
    </row>
    <row r="718" spans="1:13" ht="14.4" x14ac:dyDescent="0.3">
      <c r="A718" s="189" t="str">
        <f ca="1">IFERROR(__xludf.DUMMYFUNCTION("""COMPUTED_VALUE"""),"GF")</f>
        <v>GF</v>
      </c>
      <c r="B718" s="195" t="str">
        <f ca="1">IFERROR(__xludf.DUMMYFUNCTION("""COMPUTED_VALUE"""),"Evelyn Sanders")</f>
        <v>Evelyn Sanders</v>
      </c>
      <c r="C718" s="189">
        <f ca="1">IFERROR(__xludf.DUMMYFUNCTION("""COMPUTED_VALUE"""),12)</f>
        <v>12</v>
      </c>
      <c r="D718" s="189" t="str">
        <f ca="1">IFERROR(__xludf.DUMMYFUNCTION("""COMPUTED_VALUE"""),"G")</f>
        <v>G</v>
      </c>
      <c r="E718" s="189" t="str">
        <f ca="1">IFERROR(__xludf.DUMMYFUNCTION("""COMPUTED_VALUE"""),"J")</f>
        <v>J</v>
      </c>
      <c r="F718" s="189" t="str">
        <f ca="1">IFERROR(__xludf.DUMMYFUNCTION("""COMPUTED_VALUE"""),"I")</f>
        <v>I</v>
      </c>
      <c r="G718" s="189">
        <f ca="1">IFERROR(__xludf.DUMMYFUNCTION("""COMPUTED_VALUE"""),4)</f>
        <v>4</v>
      </c>
      <c r="H718" s="196" t="s">
        <v>309</v>
      </c>
      <c r="I718" s="196"/>
      <c r="J718" s="196" t="s">
        <v>29</v>
      </c>
      <c r="K718" s="196"/>
      <c r="L718" s="196" t="str">
        <v xml:space="preserve"> 64.95</v>
      </c>
      <c r="M718" s="196"/>
    </row>
    <row r="719" spans="1:13" ht="14.4" x14ac:dyDescent="0.3">
      <c r="A719" s="189" t="str">
        <f ca="1">IFERROR(__xludf.DUMMYFUNCTION("""COMPUTED_VALUE"""),"GF")</f>
        <v>GF</v>
      </c>
      <c r="B719" s="195" t="str">
        <f ca="1">IFERROR(__xludf.DUMMYFUNCTION("""COMPUTED_VALUE"""),"Hannah Trimble")</f>
        <v>Hannah Trimble</v>
      </c>
      <c r="C719" s="189">
        <f ca="1">IFERROR(__xludf.DUMMYFUNCTION("""COMPUTED_VALUE"""),12)</f>
        <v>12</v>
      </c>
      <c r="D719" s="189" t="str">
        <f ca="1">IFERROR(__xludf.DUMMYFUNCTION("""COMPUTED_VALUE"""),"G")</f>
        <v>G</v>
      </c>
      <c r="E719" s="189" t="str">
        <f ca="1">IFERROR(__xludf.DUMMYFUNCTION("""COMPUTED_VALUE"""),"J")</f>
        <v>J</v>
      </c>
      <c r="F719" s="189" t="str">
        <f ca="1">IFERROR(__xludf.DUMMYFUNCTION("""COMPUTED_VALUE"""),"I")</f>
        <v>I</v>
      </c>
      <c r="G719" s="189">
        <f ca="1">IFERROR(__xludf.DUMMYFUNCTION("""COMPUTED_VALUE"""),4)</f>
        <v>4</v>
      </c>
      <c r="H719" s="196"/>
      <c r="I719" s="196"/>
      <c r="J719" s="196"/>
      <c r="K719" s="196"/>
      <c r="L719" s="196" t="str">
        <v/>
      </c>
      <c r="M719" s="196"/>
    </row>
    <row r="720" spans="1:13" ht="14.4" x14ac:dyDescent="0.3">
      <c r="A720" s="189" t="str">
        <f ca="1">IFERROR(__xludf.DUMMYFUNCTION("""COMPUTED_VALUE"""),"GF")</f>
        <v>GF</v>
      </c>
      <c r="B720" s="195" t="str">
        <f ca="1">IFERROR(__xludf.DUMMYFUNCTION("""COMPUTED_VALUE"""),"Josie Griffith")</f>
        <v>Josie Griffith</v>
      </c>
      <c r="C720" s="189">
        <f ca="1">IFERROR(__xludf.DUMMYFUNCTION("""COMPUTED_VALUE"""),11)</f>
        <v>11</v>
      </c>
      <c r="D720" s="189" t="str">
        <f ca="1">IFERROR(__xludf.DUMMYFUNCTION("""COMPUTED_VALUE"""),"G")</f>
        <v>G</v>
      </c>
      <c r="E720" s="189" t="str">
        <f ca="1">IFERROR(__xludf.DUMMYFUNCTION("""COMPUTED_VALUE"""),"J")</f>
        <v>J</v>
      </c>
      <c r="F720" s="189" t="str">
        <f ca="1">IFERROR(__xludf.DUMMYFUNCTION("""COMPUTED_VALUE"""),"I")</f>
        <v>I</v>
      </c>
      <c r="G720" s="189">
        <f ca="1">IFERROR(__xludf.DUMMYFUNCTION("""COMPUTED_VALUE"""),4)</f>
        <v>4</v>
      </c>
      <c r="H720" s="196"/>
      <c r="I720" s="196"/>
      <c r="J720" s="196"/>
      <c r="K720" s="196"/>
      <c r="L720" s="196" t="str">
        <v/>
      </c>
      <c r="M720" s="196"/>
    </row>
    <row r="721" spans="1:13" ht="14.4" x14ac:dyDescent="0.3">
      <c r="A721" s="189" t="str">
        <f ca="1">IFERROR(__xludf.DUMMYFUNCTION("""COMPUTED_VALUE"""),"GF")</f>
        <v>GF</v>
      </c>
      <c r="B721" s="195" t="str">
        <f ca="1">IFERROR(__xludf.DUMMYFUNCTION("""COMPUTED_VALUE"""),"Lily Kissinger")</f>
        <v>Lily Kissinger</v>
      </c>
      <c r="C721" s="189">
        <f ca="1">IFERROR(__xludf.DUMMYFUNCTION("""COMPUTED_VALUE"""),11)</f>
        <v>11</v>
      </c>
      <c r="D721" s="189" t="str">
        <f ca="1">IFERROR(__xludf.DUMMYFUNCTION("""COMPUTED_VALUE"""),"G")</f>
        <v>G</v>
      </c>
      <c r="E721" s="189" t="str">
        <f ca="1">IFERROR(__xludf.DUMMYFUNCTION("""COMPUTED_VALUE"""),"J")</f>
        <v>J</v>
      </c>
      <c r="F721" s="189" t="str">
        <f ca="1">IFERROR(__xludf.DUMMYFUNCTION("""COMPUTED_VALUE"""),"I")</f>
        <v>I</v>
      </c>
      <c r="G721" s="189">
        <f ca="1">IFERROR(__xludf.DUMMYFUNCTION("""COMPUTED_VALUE"""),4)</f>
        <v>4</v>
      </c>
      <c r="H721" s="196"/>
      <c r="I721" s="196"/>
      <c r="J721" s="196"/>
      <c r="K721" s="196"/>
      <c r="L721" s="196" t="str">
        <v/>
      </c>
      <c r="M721" s="196"/>
    </row>
    <row r="722" spans="1:13" ht="14.4" x14ac:dyDescent="0.3">
      <c r="A722" s="189" t="str">
        <f ca="1">IFERROR(__xludf.DUMMYFUNCTION("""COMPUTED_VALUE"""),"GF")</f>
        <v>GF</v>
      </c>
      <c r="B722" s="195" t="str">
        <f ca="1">IFERROR(__xludf.DUMMYFUNCTION("""COMPUTED_VALUE"""),"Lydia Johnson")</f>
        <v>Lydia Johnson</v>
      </c>
      <c r="C722" s="189">
        <f ca="1">IFERROR(__xludf.DUMMYFUNCTION("""COMPUTED_VALUE"""),11)</f>
        <v>11</v>
      </c>
      <c r="D722" s="189" t="str">
        <f ca="1">IFERROR(__xludf.DUMMYFUNCTION("""COMPUTED_VALUE"""),"G")</f>
        <v>G</v>
      </c>
      <c r="E722" s="189" t="str">
        <f ca="1">IFERROR(__xludf.DUMMYFUNCTION("""COMPUTED_VALUE"""),"J")</f>
        <v>J</v>
      </c>
      <c r="F722" s="189" t="str">
        <f ca="1">IFERROR(__xludf.DUMMYFUNCTION("""COMPUTED_VALUE"""),"I")</f>
        <v>I</v>
      </c>
      <c r="G722" s="189">
        <f ca="1">IFERROR(__xludf.DUMMYFUNCTION("""COMPUTED_VALUE"""),4)</f>
        <v>4</v>
      </c>
      <c r="H722" s="196" t="s">
        <v>310</v>
      </c>
      <c r="I722" s="196"/>
      <c r="J722" s="196" t="s">
        <v>29</v>
      </c>
      <c r="K722" s="196"/>
      <c r="L722" s="196" t="str">
        <v xml:space="preserve"> 22.85</v>
      </c>
      <c r="M722" s="196"/>
    </row>
    <row r="723" spans="1:13" ht="14.4" x14ac:dyDescent="0.3">
      <c r="A723" s="189" t="str">
        <f ca="1">IFERROR(__xludf.DUMMYFUNCTION("""COMPUTED_VALUE"""),"GF")</f>
        <v>GF</v>
      </c>
      <c r="B723" s="195" t="str">
        <f ca="1">IFERROR(__xludf.DUMMYFUNCTION("""COMPUTED_VALUE"""),"Phoebe Jeffery")</f>
        <v>Phoebe Jeffery</v>
      </c>
      <c r="C723" s="189">
        <f ca="1">IFERROR(__xludf.DUMMYFUNCTION("""COMPUTED_VALUE"""),11)</f>
        <v>11</v>
      </c>
      <c r="D723" s="189" t="str">
        <f ca="1">IFERROR(__xludf.DUMMYFUNCTION("""COMPUTED_VALUE"""),"G")</f>
        <v>G</v>
      </c>
      <c r="E723" s="189" t="str">
        <f ca="1">IFERROR(__xludf.DUMMYFUNCTION("""COMPUTED_VALUE"""),"J")</f>
        <v>J</v>
      </c>
      <c r="F723" s="189" t="str">
        <f ca="1">IFERROR(__xludf.DUMMYFUNCTION("""COMPUTED_VALUE"""),"I")</f>
        <v>I</v>
      </c>
      <c r="G723" s="189">
        <f ca="1">IFERROR(__xludf.DUMMYFUNCTION("""COMPUTED_VALUE"""),4)</f>
        <v>4</v>
      </c>
      <c r="H723" s="196"/>
      <c r="I723" s="196"/>
      <c r="J723" s="196"/>
      <c r="K723" s="196"/>
      <c r="L723" s="196" t="str">
        <v/>
      </c>
      <c r="M723" s="196"/>
    </row>
    <row r="724" spans="1:13" ht="14.4" x14ac:dyDescent="0.3">
      <c r="A724" s="189" t="str">
        <f ca="1">IFERROR(__xludf.DUMMYFUNCTION("""COMPUTED_VALUE"""),"GF")</f>
        <v>GF</v>
      </c>
      <c r="B724" s="195" t="str">
        <f ca="1">IFERROR(__xludf.DUMMYFUNCTION("""COMPUTED_VALUE"""),"Riyah McKimmy")</f>
        <v>Riyah McKimmy</v>
      </c>
      <c r="C724" s="189">
        <f ca="1">IFERROR(__xludf.DUMMYFUNCTION("""COMPUTED_VALUE"""),12)</f>
        <v>12</v>
      </c>
      <c r="D724" s="189" t="str">
        <f ca="1">IFERROR(__xludf.DUMMYFUNCTION("""COMPUTED_VALUE"""),"G")</f>
        <v>G</v>
      </c>
      <c r="E724" s="189" t="str">
        <f ca="1">IFERROR(__xludf.DUMMYFUNCTION("""COMPUTED_VALUE"""),"J")</f>
        <v>J</v>
      </c>
      <c r="F724" s="189" t="str">
        <f ca="1">IFERROR(__xludf.DUMMYFUNCTION("""COMPUTED_VALUE"""),"I")</f>
        <v>I</v>
      </c>
      <c r="G724" s="189">
        <f ca="1">IFERROR(__xludf.DUMMYFUNCTION("""COMPUTED_VALUE"""),4)</f>
        <v>4</v>
      </c>
      <c r="H724" s="196"/>
      <c r="I724" s="196"/>
      <c r="J724" s="196"/>
      <c r="K724" s="196"/>
      <c r="L724" s="196" t="str">
        <v/>
      </c>
      <c r="M724" s="196"/>
    </row>
    <row r="725" spans="1:13" ht="14.4" x14ac:dyDescent="0.3">
      <c r="A725" s="189" t="str">
        <f ca="1">IFERROR(__xludf.DUMMYFUNCTION("""COMPUTED_VALUE"""),"GF")</f>
        <v>GF</v>
      </c>
      <c r="B725" s="195" t="str">
        <f ca="1">IFERROR(__xludf.DUMMYFUNCTION("""COMPUTED_VALUE"""),"Taylor Smith")</f>
        <v>Taylor Smith</v>
      </c>
      <c r="C725" s="189">
        <f ca="1">IFERROR(__xludf.DUMMYFUNCTION("""COMPUTED_VALUE"""),11)</f>
        <v>11</v>
      </c>
      <c r="D725" s="189" t="str">
        <f ca="1">IFERROR(__xludf.DUMMYFUNCTION("""COMPUTED_VALUE"""),"G")</f>
        <v>G</v>
      </c>
      <c r="E725" s="189" t="str">
        <f ca="1">IFERROR(__xludf.DUMMYFUNCTION("""COMPUTED_VALUE"""),"J")</f>
        <v>J</v>
      </c>
      <c r="F725" s="189" t="str">
        <f ca="1">IFERROR(__xludf.DUMMYFUNCTION("""COMPUTED_VALUE"""),"I")</f>
        <v>I</v>
      </c>
      <c r="G725" s="189">
        <f ca="1">IFERROR(__xludf.DUMMYFUNCTION("""COMPUTED_VALUE"""),4)</f>
        <v>4</v>
      </c>
      <c r="H725" s="196"/>
      <c r="I725" s="196"/>
      <c r="J725" s="196"/>
      <c r="K725" s="196"/>
      <c r="L725" s="196" t="str">
        <v/>
      </c>
      <c r="M725" s="196"/>
    </row>
    <row r="726" spans="1:13" ht="14.4" x14ac:dyDescent="0.3">
      <c r="A726" s="189" t="str">
        <f ca="1">IFERROR(__xludf.DUMMYFUNCTION("""COMPUTED_VALUE"""),"GF")</f>
        <v>GF</v>
      </c>
      <c r="B726" s="195" t="str">
        <f ca="1">IFERROR(__xludf.DUMMYFUNCTION("""COMPUTED_VALUE"""),"Alex Kroely")</f>
        <v>Alex Kroely</v>
      </c>
      <c r="C726" s="189">
        <f ca="1">IFERROR(__xludf.DUMMYFUNCTION("""COMPUTED_VALUE"""),12)</f>
        <v>12</v>
      </c>
      <c r="D726" s="189" t="str">
        <f ca="1">IFERROR(__xludf.DUMMYFUNCTION("""COMPUTED_VALUE"""),"B")</f>
        <v>B</v>
      </c>
      <c r="E726" s="189" t="str">
        <f ca="1">IFERROR(__xludf.DUMMYFUNCTION("""COMPUTED_VALUE"""),"J")</f>
        <v>J</v>
      </c>
      <c r="F726" s="189" t="str">
        <f ca="1">IFERROR(__xludf.DUMMYFUNCTION("""COMPUTED_VALUE"""),"I")</f>
        <v>I</v>
      </c>
      <c r="G726" s="189">
        <f ca="1">IFERROR(__xludf.DUMMYFUNCTION("""COMPUTED_VALUE"""),4)</f>
        <v>4</v>
      </c>
      <c r="H726" s="196" t="s">
        <v>62</v>
      </c>
      <c r="I726" s="196"/>
      <c r="J726" s="196" t="s">
        <v>29</v>
      </c>
      <c r="K726" s="196"/>
      <c r="L726" s="196" t="str">
        <v xml:space="preserve"> 68.40</v>
      </c>
      <c r="M726" s="196"/>
    </row>
    <row r="727" spans="1:13" ht="14.4" x14ac:dyDescent="0.3">
      <c r="A727" s="189" t="str">
        <f ca="1">IFERROR(__xludf.DUMMYFUNCTION("""COMPUTED_VALUE"""),"GF")</f>
        <v>GF</v>
      </c>
      <c r="B727" s="195" t="str">
        <f ca="1">IFERROR(__xludf.DUMMYFUNCTION("""COMPUTED_VALUE"""),"Camden Daftari")</f>
        <v>Camden Daftari</v>
      </c>
      <c r="C727" s="189">
        <f ca="1">IFERROR(__xludf.DUMMYFUNCTION("""COMPUTED_VALUE"""),11)</f>
        <v>11</v>
      </c>
      <c r="D727" s="189" t="str">
        <f ca="1">IFERROR(__xludf.DUMMYFUNCTION("""COMPUTED_VALUE"""),"B")</f>
        <v>B</v>
      </c>
      <c r="E727" s="189" t="str">
        <f ca="1">IFERROR(__xludf.DUMMYFUNCTION("""COMPUTED_VALUE"""),"J")</f>
        <v>J</v>
      </c>
      <c r="F727" s="189" t="str">
        <f ca="1">IFERROR(__xludf.DUMMYFUNCTION("""COMPUTED_VALUE"""),"I")</f>
        <v>I</v>
      </c>
      <c r="G727" s="189">
        <f ca="1">IFERROR(__xludf.DUMMYFUNCTION("""COMPUTED_VALUE"""),4)</f>
        <v>4</v>
      </c>
      <c r="H727" s="196"/>
      <c r="I727" s="196"/>
      <c r="J727" s="196"/>
      <c r="K727" s="196"/>
      <c r="L727" s="196" t="str">
        <v/>
      </c>
      <c r="M727" s="196"/>
    </row>
    <row r="728" spans="1:13" ht="14.4" x14ac:dyDescent="0.3">
      <c r="A728" s="189" t="str">
        <f ca="1">IFERROR(__xludf.DUMMYFUNCTION("""COMPUTED_VALUE"""),"GF")</f>
        <v>GF</v>
      </c>
      <c r="B728" s="195" t="str">
        <f ca="1">IFERROR(__xludf.DUMMYFUNCTION("""COMPUTED_VALUE"""),"Dylan Lake")</f>
        <v>Dylan Lake</v>
      </c>
      <c r="C728" s="189">
        <f ca="1">IFERROR(__xludf.DUMMYFUNCTION("""COMPUTED_VALUE"""),11)</f>
        <v>11</v>
      </c>
      <c r="D728" s="189" t="str">
        <f ca="1">IFERROR(__xludf.DUMMYFUNCTION("""COMPUTED_VALUE"""),"B")</f>
        <v>B</v>
      </c>
      <c r="E728" s="189" t="str">
        <f ca="1">IFERROR(__xludf.DUMMYFUNCTION("""COMPUTED_VALUE"""),"J")</f>
        <v>J</v>
      </c>
      <c r="F728" s="189" t="str">
        <f ca="1">IFERROR(__xludf.DUMMYFUNCTION("""COMPUTED_VALUE"""),"I")</f>
        <v>I</v>
      </c>
      <c r="G728" s="189">
        <f ca="1">IFERROR(__xludf.DUMMYFUNCTION("""COMPUTED_VALUE"""),4)</f>
        <v>4</v>
      </c>
      <c r="H728" s="196"/>
      <c r="I728" s="196"/>
      <c r="J728" s="196"/>
      <c r="K728" s="196"/>
      <c r="L728" s="196" t="str">
        <v/>
      </c>
      <c r="M728" s="196"/>
    </row>
    <row r="729" spans="1:13" ht="14.4" x14ac:dyDescent="0.3">
      <c r="A729" s="189" t="str">
        <f ca="1">IFERROR(__xludf.DUMMYFUNCTION("""COMPUTED_VALUE"""),"GF")</f>
        <v>GF</v>
      </c>
      <c r="B729" s="195" t="str">
        <f ca="1">IFERROR(__xludf.DUMMYFUNCTION("""COMPUTED_VALUE"""),"Eli Bockman")</f>
        <v>Eli Bockman</v>
      </c>
      <c r="C729" s="189">
        <f ca="1">IFERROR(__xludf.DUMMYFUNCTION("""COMPUTED_VALUE"""),12)</f>
        <v>12</v>
      </c>
      <c r="D729" s="189" t="str">
        <f ca="1">IFERROR(__xludf.DUMMYFUNCTION("""COMPUTED_VALUE"""),"B")</f>
        <v>B</v>
      </c>
      <c r="E729" s="189" t="str">
        <f ca="1">IFERROR(__xludf.DUMMYFUNCTION("""COMPUTED_VALUE"""),"J")</f>
        <v>J</v>
      </c>
      <c r="F729" s="189" t="str">
        <f ca="1">IFERROR(__xludf.DUMMYFUNCTION("""COMPUTED_VALUE"""),"I")</f>
        <v>I</v>
      </c>
      <c r="G729" s="189">
        <f ca="1">IFERROR(__xludf.DUMMYFUNCTION("""COMPUTED_VALUE"""),4)</f>
        <v>4</v>
      </c>
      <c r="H729" s="196"/>
      <c r="I729" s="196"/>
      <c r="J729" s="196"/>
      <c r="K729" s="196"/>
      <c r="L729" s="196" t="str">
        <v/>
      </c>
      <c r="M729" s="196"/>
    </row>
    <row r="730" spans="1:13" ht="14.4" x14ac:dyDescent="0.3">
      <c r="A730" s="189" t="str">
        <f ca="1">IFERROR(__xludf.DUMMYFUNCTION("""COMPUTED_VALUE"""),"GF")</f>
        <v>GF</v>
      </c>
      <c r="B730" s="195" t="str">
        <f ca="1">IFERROR(__xludf.DUMMYFUNCTION("""COMPUTED_VALUE"""),"JP Kissinger")</f>
        <v>JP Kissinger</v>
      </c>
      <c r="C730" s="189">
        <f ca="1">IFERROR(__xludf.DUMMYFUNCTION("""COMPUTED_VALUE"""),12)</f>
        <v>12</v>
      </c>
      <c r="D730" s="189" t="str">
        <f ca="1">IFERROR(__xludf.DUMMYFUNCTION("""COMPUTED_VALUE"""),"B")</f>
        <v>B</v>
      </c>
      <c r="E730" s="189" t="str">
        <f ca="1">IFERROR(__xludf.DUMMYFUNCTION("""COMPUTED_VALUE"""),"J")</f>
        <v>J</v>
      </c>
      <c r="F730" s="189" t="str">
        <f ca="1">IFERROR(__xludf.DUMMYFUNCTION("""COMPUTED_VALUE"""),"I")</f>
        <v>I</v>
      </c>
      <c r="G730" s="189">
        <f ca="1">IFERROR(__xludf.DUMMYFUNCTION("""COMPUTED_VALUE"""),4)</f>
        <v>4</v>
      </c>
      <c r="H730" s="196" t="s">
        <v>311</v>
      </c>
      <c r="I730" s="196"/>
      <c r="J730" s="196" t="s">
        <v>29</v>
      </c>
      <c r="K730" s="196"/>
      <c r="L730" s="196" t="str">
        <v xml:space="preserve"> 75.30</v>
      </c>
      <c r="M730" s="196"/>
    </row>
    <row r="731" spans="1:13" ht="14.4" x14ac:dyDescent="0.3">
      <c r="A731" s="189" t="str">
        <f ca="1">IFERROR(__xludf.DUMMYFUNCTION("""COMPUTED_VALUE"""),"GF")</f>
        <v>GF</v>
      </c>
      <c r="B731" s="195" t="str">
        <f ca="1">IFERROR(__xludf.DUMMYFUNCTION("""COMPUTED_VALUE"""),"Mary Abela")</f>
        <v>Mary Abela</v>
      </c>
      <c r="C731" s="189">
        <f ca="1">IFERROR(__xludf.DUMMYFUNCTION("""COMPUTED_VALUE"""),15)</f>
        <v>15</v>
      </c>
      <c r="D731" s="189" t="str">
        <f ca="1">IFERROR(__xludf.DUMMYFUNCTION("""COMPUTED_VALUE"""),"G")</f>
        <v>G</v>
      </c>
      <c r="E731" s="189" t="str">
        <f ca="1">IFERROR(__xludf.DUMMYFUNCTION("""COMPUTED_VALUE"""),"S")</f>
        <v>S</v>
      </c>
      <c r="F731" s="189" t="str">
        <f ca="1">IFERROR(__xludf.DUMMYFUNCTION("""COMPUTED_VALUE"""),"S")</f>
        <v>S</v>
      </c>
      <c r="G731" s="189">
        <f ca="1">IFERROR(__xludf.DUMMYFUNCTION("""COMPUTED_VALUE"""),4)</f>
        <v>4</v>
      </c>
      <c r="H731" s="196" t="s">
        <v>264</v>
      </c>
      <c r="I731" s="196"/>
      <c r="J731" s="196" t="s">
        <v>29</v>
      </c>
      <c r="K731" s="196"/>
      <c r="L731" s="196" t="str">
        <v xml:space="preserve"> 135.20</v>
      </c>
      <c r="M731" s="196"/>
    </row>
    <row r="732" spans="1:13" ht="14.4" x14ac:dyDescent="0.3">
      <c r="A732" s="189" t="str">
        <f ca="1">IFERROR(__xludf.DUMMYFUNCTION("""COMPUTED_VALUE"""),"GF")</f>
        <v>GF</v>
      </c>
      <c r="B732" s="195" t="str">
        <f ca="1">IFERROR(__xludf.DUMMYFUNCTION("""COMPUTED_VALUE"""),"Norah Kissinger")</f>
        <v>Norah Kissinger</v>
      </c>
      <c r="C732" s="189">
        <f ca="1">IFERROR(__xludf.DUMMYFUNCTION("""COMPUTED_VALUE"""),17)</f>
        <v>17</v>
      </c>
      <c r="D732" s="189" t="str">
        <f ca="1">IFERROR(__xludf.DUMMYFUNCTION("""COMPUTED_VALUE"""),"G")</f>
        <v>G</v>
      </c>
      <c r="E732" s="189" t="str">
        <f ca="1">IFERROR(__xludf.DUMMYFUNCTION("""COMPUTED_VALUE"""),"S")</f>
        <v>S</v>
      </c>
      <c r="F732" s="189" t="str">
        <f ca="1">IFERROR(__xludf.DUMMYFUNCTION("""COMPUTED_VALUE"""),"S")</f>
        <v>S</v>
      </c>
      <c r="G732" s="189">
        <f ca="1">IFERROR(__xludf.DUMMYFUNCTION("""COMPUTED_VALUE"""),4)</f>
        <v>4</v>
      </c>
      <c r="H732" s="196" t="s">
        <v>312</v>
      </c>
      <c r="I732" s="196"/>
      <c r="J732" s="196" t="s">
        <v>29</v>
      </c>
      <c r="K732" s="196"/>
      <c r="L732" s="196" t="str">
        <v xml:space="preserve"> 148.70</v>
      </c>
      <c r="M732" s="196"/>
    </row>
    <row r="733" spans="1:13" ht="14.4" x14ac:dyDescent="0.3">
      <c r="A733" s="189" t="str">
        <f ca="1">IFERROR(__xludf.DUMMYFUNCTION("""COMPUTED_VALUE"""),"GF")</f>
        <v>GF</v>
      </c>
      <c r="B733" s="195" t="str">
        <f ca="1">IFERROR(__xludf.DUMMYFUNCTION("""COMPUTED_VALUE"""),"Cian Gallagher")</f>
        <v>Cian Gallagher</v>
      </c>
      <c r="C733" s="189">
        <f ca="1">IFERROR(__xludf.DUMMYFUNCTION("""COMPUTED_VALUE"""),16)</f>
        <v>16</v>
      </c>
      <c r="D733" s="189" t="str">
        <f ca="1">IFERROR(__xludf.DUMMYFUNCTION("""COMPUTED_VALUE"""),"B")</f>
        <v>B</v>
      </c>
      <c r="E733" s="189" t="str">
        <f ca="1">IFERROR(__xludf.DUMMYFUNCTION("""COMPUTED_VALUE"""),"S")</f>
        <v>S</v>
      </c>
      <c r="F733" s="189" t="str">
        <f ca="1">IFERROR(__xludf.DUMMYFUNCTION("""COMPUTED_VALUE"""),"S")</f>
        <v>S</v>
      </c>
      <c r="G733" s="189">
        <f ca="1">IFERROR(__xludf.DUMMYFUNCTION("""COMPUTED_VALUE"""),4)</f>
        <v>4</v>
      </c>
      <c r="H733" s="196"/>
      <c r="I733" s="196"/>
      <c r="J733" s="196"/>
      <c r="K733" s="196"/>
      <c r="L733" s="196" t="str">
        <v/>
      </c>
      <c r="M733" s="196"/>
    </row>
    <row r="734" spans="1:13" ht="14.4" x14ac:dyDescent="0.3">
      <c r="A734" s="189" t="str">
        <f ca="1">IFERROR(__xludf.DUMMYFUNCTION("""COMPUTED_VALUE"""),"GF")</f>
        <v>GF</v>
      </c>
      <c r="B734" s="195" t="str">
        <f ca="1">IFERROR(__xludf.DUMMYFUNCTION("""COMPUTED_VALUE"""),"Peter Baird")</f>
        <v>Peter Baird</v>
      </c>
      <c r="C734" s="189">
        <f ca="1">IFERROR(__xludf.DUMMYFUNCTION("""COMPUTED_VALUE"""),15)</f>
        <v>15</v>
      </c>
      <c r="D734" s="189" t="str">
        <f ca="1">IFERROR(__xludf.DUMMYFUNCTION("""COMPUTED_VALUE"""),"B")</f>
        <v>B</v>
      </c>
      <c r="E734" s="189" t="str">
        <f ca="1">IFERROR(__xludf.DUMMYFUNCTION("""COMPUTED_VALUE"""),"S")</f>
        <v>S</v>
      </c>
      <c r="F734" s="189" t="str">
        <f ca="1">IFERROR(__xludf.DUMMYFUNCTION("""COMPUTED_VALUE"""),"S")</f>
        <v>S</v>
      </c>
      <c r="G734" s="189">
        <f ca="1">IFERROR(__xludf.DUMMYFUNCTION("""COMPUTED_VALUE"""),4)</f>
        <v>4</v>
      </c>
      <c r="H734" s="196" t="s">
        <v>313</v>
      </c>
      <c r="I734" s="196"/>
      <c r="J734" s="196" t="s">
        <v>29</v>
      </c>
      <c r="K734" s="196"/>
      <c r="L734" s="196" t="str">
        <v xml:space="preserve"> 120.85</v>
      </c>
      <c r="M734" s="196"/>
    </row>
    <row r="735" spans="1:13" ht="14.4" x14ac:dyDescent="0.3">
      <c r="A735" s="189" t="str">
        <f ca="1">IFERROR(__xludf.DUMMYFUNCTION("""COMPUTED_VALUE"""),"HF")</f>
        <v>HF</v>
      </c>
      <c r="B735" s="195" t="str">
        <f ca="1">IFERROR(__xludf.DUMMYFUNCTION("""COMPUTED_VALUE"""),"Abby Lee")</f>
        <v>Abby Lee</v>
      </c>
      <c r="C735" s="189">
        <f ca="1">IFERROR(__xludf.DUMMYFUNCTION("""COMPUTED_VALUE"""),10)</f>
        <v>10</v>
      </c>
      <c r="D735" s="189" t="str">
        <f ca="1">IFERROR(__xludf.DUMMYFUNCTION("""COMPUTED_VALUE"""),"G")</f>
        <v>G</v>
      </c>
      <c r="E735" s="189" t="str">
        <f ca="1">IFERROR(__xludf.DUMMYFUNCTION("""COMPUTED_VALUE"""),"F")</f>
        <v>F</v>
      </c>
      <c r="F735" s="189" t="str">
        <f ca="1">IFERROR(__xludf.DUMMYFUNCTION("""COMPUTED_VALUE"""),"J")</f>
        <v>J</v>
      </c>
      <c r="G735" s="189">
        <f ca="1">IFERROR(__xludf.DUMMYFUNCTION("""COMPUTED_VALUE"""),4)</f>
        <v>4</v>
      </c>
      <c r="H735" s="196" t="s">
        <v>314</v>
      </c>
      <c r="I735" s="196"/>
      <c r="J735" s="196" t="s">
        <v>29</v>
      </c>
      <c r="K735" s="196"/>
      <c r="L735" s="196" t="str">
        <v xml:space="preserve"> 47.60</v>
      </c>
      <c r="M735" s="196"/>
    </row>
    <row r="736" spans="1:13" ht="14.4" x14ac:dyDescent="0.3">
      <c r="A736" s="189" t="str">
        <f ca="1">IFERROR(__xludf.DUMMYFUNCTION("""COMPUTED_VALUE"""),"HF")</f>
        <v>HF</v>
      </c>
      <c r="B736" s="195" t="str">
        <f ca="1">IFERROR(__xludf.DUMMYFUNCTION("""COMPUTED_VALUE"""),"Adelyn Wilder")</f>
        <v>Adelyn Wilder</v>
      </c>
      <c r="C736" s="189">
        <f ca="1">IFERROR(__xludf.DUMMYFUNCTION("""COMPUTED_VALUE"""),9)</f>
        <v>9</v>
      </c>
      <c r="D736" s="189" t="str">
        <f ca="1">IFERROR(__xludf.DUMMYFUNCTION("""COMPUTED_VALUE"""),"G")</f>
        <v>G</v>
      </c>
      <c r="E736" s="189" t="str">
        <f ca="1">IFERROR(__xludf.DUMMYFUNCTION("""COMPUTED_VALUE"""),"F")</f>
        <v>F</v>
      </c>
      <c r="F736" s="189" t="str">
        <f ca="1">IFERROR(__xludf.DUMMYFUNCTION("""COMPUTED_VALUE"""),"J")</f>
        <v>J</v>
      </c>
      <c r="G736" s="189">
        <f ca="1">IFERROR(__xludf.DUMMYFUNCTION("""COMPUTED_VALUE"""),4)</f>
        <v>4</v>
      </c>
      <c r="H736" s="196" t="s">
        <v>315</v>
      </c>
      <c r="I736" s="196"/>
      <c r="J736" s="196" t="s">
        <v>29</v>
      </c>
      <c r="K736" s="196"/>
      <c r="L736" s="196" t="str">
        <v xml:space="preserve"> 47.85</v>
      </c>
      <c r="M736" s="196"/>
    </row>
    <row r="737" spans="1:13" ht="14.4" x14ac:dyDescent="0.3">
      <c r="A737" s="189" t="str">
        <f ca="1">IFERROR(__xludf.DUMMYFUNCTION("""COMPUTED_VALUE"""),"HF")</f>
        <v>HF</v>
      </c>
      <c r="B737" s="195" t="str">
        <f ca="1">IFERROR(__xludf.DUMMYFUNCTION("""COMPUTED_VALUE"""),"Alexandra Torrez")</f>
        <v>Alexandra Torrez</v>
      </c>
      <c r="C737" s="189">
        <f ca="1">IFERROR(__xludf.DUMMYFUNCTION("""COMPUTED_VALUE"""),8)</f>
        <v>8</v>
      </c>
      <c r="D737" s="189" t="str">
        <f ca="1">IFERROR(__xludf.DUMMYFUNCTION("""COMPUTED_VALUE"""),"G")</f>
        <v>G</v>
      </c>
      <c r="E737" s="189" t="str">
        <f ca="1">IFERROR(__xludf.DUMMYFUNCTION("""COMPUTED_VALUE"""),"F")</f>
        <v>F</v>
      </c>
      <c r="F737" s="189" t="str">
        <f ca="1">IFERROR(__xludf.DUMMYFUNCTION("""COMPUTED_VALUE"""),"J")</f>
        <v>J</v>
      </c>
      <c r="G737" s="189">
        <f ca="1">IFERROR(__xludf.DUMMYFUNCTION("""COMPUTED_VALUE"""),4)</f>
        <v>4</v>
      </c>
      <c r="H737" s="196"/>
      <c r="I737" s="196"/>
      <c r="J737" s="196"/>
      <c r="K737" s="196"/>
      <c r="L737" s="196" t="str">
        <v/>
      </c>
      <c r="M737" s="196"/>
    </row>
    <row r="738" spans="1:13" ht="14.4" x14ac:dyDescent="0.3">
      <c r="A738" s="189" t="str">
        <f ca="1">IFERROR(__xludf.DUMMYFUNCTION("""COMPUTED_VALUE"""),"HF")</f>
        <v>HF</v>
      </c>
      <c r="B738" s="195" t="str">
        <f ca="1">IFERROR(__xludf.DUMMYFUNCTION("""COMPUTED_VALUE"""),"Ava Kowalchick")</f>
        <v>Ava Kowalchick</v>
      </c>
      <c r="C738" s="189">
        <f ca="1">IFERROR(__xludf.DUMMYFUNCTION("""COMPUTED_VALUE"""),9)</f>
        <v>9</v>
      </c>
      <c r="D738" s="189" t="str">
        <f ca="1">IFERROR(__xludf.DUMMYFUNCTION("""COMPUTED_VALUE"""),"G")</f>
        <v>G</v>
      </c>
      <c r="E738" s="189" t="str">
        <f ca="1">IFERROR(__xludf.DUMMYFUNCTION("""COMPUTED_VALUE"""),"F")</f>
        <v>F</v>
      </c>
      <c r="F738" s="189" t="str">
        <f ca="1">IFERROR(__xludf.DUMMYFUNCTION("""COMPUTED_VALUE"""),"J")</f>
        <v>J</v>
      </c>
      <c r="G738" s="189">
        <f ca="1">IFERROR(__xludf.DUMMYFUNCTION("""COMPUTED_VALUE"""),4)</f>
        <v>4</v>
      </c>
      <c r="H738" s="196" t="s">
        <v>316</v>
      </c>
      <c r="I738" s="196"/>
      <c r="J738" s="196" t="s">
        <v>29</v>
      </c>
      <c r="K738" s="196"/>
      <c r="L738" s="196" t="str">
        <v xml:space="preserve"> 63.05</v>
      </c>
      <c r="M738" s="196"/>
    </row>
    <row r="739" spans="1:13" ht="14.4" x14ac:dyDescent="0.3">
      <c r="A739" s="189" t="str">
        <f ca="1">IFERROR(__xludf.DUMMYFUNCTION("""COMPUTED_VALUE"""),"HF")</f>
        <v>HF</v>
      </c>
      <c r="B739" s="195" t="str">
        <f ca="1">IFERROR(__xludf.DUMMYFUNCTION("""COMPUTED_VALUE"""),"Brielle Linenberg")</f>
        <v>Brielle Linenberg</v>
      </c>
      <c r="C739" s="189">
        <f ca="1">IFERROR(__xludf.DUMMYFUNCTION("""COMPUTED_VALUE"""),10)</f>
        <v>10</v>
      </c>
      <c r="D739" s="189" t="str">
        <f ca="1">IFERROR(__xludf.DUMMYFUNCTION("""COMPUTED_VALUE"""),"G")</f>
        <v>G</v>
      </c>
      <c r="E739" s="189" t="str">
        <f ca="1">IFERROR(__xludf.DUMMYFUNCTION("""COMPUTED_VALUE"""),"F")</f>
        <v>F</v>
      </c>
      <c r="F739" s="189" t="str">
        <f ca="1">IFERROR(__xludf.DUMMYFUNCTION("""COMPUTED_VALUE"""),"J")</f>
        <v>J</v>
      </c>
      <c r="G739" s="189">
        <f ca="1">IFERROR(__xludf.DUMMYFUNCTION("""COMPUTED_VALUE"""),4)</f>
        <v>4</v>
      </c>
      <c r="H739" s="196"/>
      <c r="I739" s="196"/>
      <c r="J739" s="196"/>
      <c r="K739" s="196"/>
      <c r="L739" s="196" t="str">
        <v/>
      </c>
      <c r="M739" s="196"/>
    </row>
    <row r="740" spans="1:13" ht="14.4" x14ac:dyDescent="0.3">
      <c r="A740" s="189" t="str">
        <f ca="1">IFERROR(__xludf.DUMMYFUNCTION("""COMPUTED_VALUE"""),"HF")</f>
        <v>HF</v>
      </c>
      <c r="B740" s="195" t="str">
        <f ca="1">IFERROR(__xludf.DUMMYFUNCTION("""COMPUTED_VALUE"""),"Dani Esteve")</f>
        <v>Dani Esteve</v>
      </c>
      <c r="C740" s="189">
        <f ca="1">IFERROR(__xludf.DUMMYFUNCTION("""COMPUTED_VALUE"""),5)</f>
        <v>5</v>
      </c>
      <c r="D740" s="189" t="str">
        <f ca="1">IFERROR(__xludf.DUMMYFUNCTION("""COMPUTED_VALUE"""),"G")</f>
        <v>G</v>
      </c>
      <c r="E740" s="189" t="str">
        <f ca="1">IFERROR(__xludf.DUMMYFUNCTION("""COMPUTED_VALUE"""),"F")</f>
        <v>F</v>
      </c>
      <c r="F740" s="189" t="str">
        <f ca="1">IFERROR(__xludf.DUMMYFUNCTION("""COMPUTED_VALUE"""),"J")</f>
        <v>J</v>
      </c>
      <c r="G740" s="189">
        <f ca="1">IFERROR(__xludf.DUMMYFUNCTION("""COMPUTED_VALUE"""),4)</f>
        <v>4</v>
      </c>
      <c r="H740" s="196"/>
      <c r="I740" s="196"/>
      <c r="J740" s="196"/>
      <c r="K740" s="196"/>
      <c r="L740" s="196" t="str">
        <v/>
      </c>
      <c r="M740" s="196"/>
    </row>
    <row r="741" spans="1:13" ht="14.4" x14ac:dyDescent="0.3">
      <c r="A741" s="189" t="str">
        <f ca="1">IFERROR(__xludf.DUMMYFUNCTION("""COMPUTED_VALUE"""),"HF")</f>
        <v>HF</v>
      </c>
      <c r="B741" s="195" t="str">
        <f ca="1">IFERROR(__xludf.DUMMYFUNCTION("""COMPUTED_VALUE"""),"Edi Charboneau")</f>
        <v>Edi Charboneau</v>
      </c>
      <c r="C741" s="189">
        <f ca="1">IFERROR(__xludf.DUMMYFUNCTION("""COMPUTED_VALUE"""),10)</f>
        <v>10</v>
      </c>
      <c r="D741" s="189" t="str">
        <f ca="1">IFERROR(__xludf.DUMMYFUNCTION("""COMPUTED_VALUE"""),"G")</f>
        <v>G</v>
      </c>
      <c r="E741" s="189" t="str">
        <f ca="1">IFERROR(__xludf.DUMMYFUNCTION("""COMPUTED_VALUE"""),"F")</f>
        <v>F</v>
      </c>
      <c r="F741" s="189" t="str">
        <f ca="1">IFERROR(__xludf.DUMMYFUNCTION("""COMPUTED_VALUE"""),"J")</f>
        <v>J</v>
      </c>
      <c r="G741" s="189">
        <f ca="1">IFERROR(__xludf.DUMMYFUNCTION("""COMPUTED_VALUE"""),4)</f>
        <v>4</v>
      </c>
      <c r="H741" s="196" t="s">
        <v>317</v>
      </c>
      <c r="I741" s="196"/>
      <c r="J741" s="196" t="s">
        <v>29</v>
      </c>
      <c r="K741" s="196"/>
      <c r="L741" s="196" t="str">
        <v xml:space="preserve"> 29.10</v>
      </c>
      <c r="M741" s="196"/>
    </row>
    <row r="742" spans="1:13" ht="14.4" x14ac:dyDescent="0.3">
      <c r="A742" s="189" t="str">
        <f ca="1">IFERROR(__xludf.DUMMYFUNCTION("""COMPUTED_VALUE"""),"HF")</f>
        <v>HF</v>
      </c>
      <c r="B742" s="195" t="str">
        <f ca="1">IFERROR(__xludf.DUMMYFUNCTION("""COMPUTED_VALUE"""),"Ellie Lee")</f>
        <v>Ellie Lee</v>
      </c>
      <c r="C742" s="189">
        <f ca="1">IFERROR(__xludf.DUMMYFUNCTION("""COMPUTED_VALUE"""),7)</f>
        <v>7</v>
      </c>
      <c r="D742" s="189" t="str">
        <f ca="1">IFERROR(__xludf.DUMMYFUNCTION("""COMPUTED_VALUE"""),"G")</f>
        <v>G</v>
      </c>
      <c r="E742" s="189" t="str">
        <f ca="1">IFERROR(__xludf.DUMMYFUNCTION("""COMPUTED_VALUE"""),"F")</f>
        <v>F</v>
      </c>
      <c r="F742" s="189" t="str">
        <f ca="1">IFERROR(__xludf.DUMMYFUNCTION("""COMPUTED_VALUE"""),"J")</f>
        <v>J</v>
      </c>
      <c r="G742" s="189">
        <f ca="1">IFERROR(__xludf.DUMMYFUNCTION("""COMPUTED_VALUE"""),4)</f>
        <v>4</v>
      </c>
      <c r="H742" s="196" t="s">
        <v>318</v>
      </c>
      <c r="I742" s="196"/>
      <c r="J742" s="196" t="s">
        <v>29</v>
      </c>
      <c r="K742" s="196"/>
      <c r="L742" s="196" t="str">
        <v xml:space="preserve"> 32.75</v>
      </c>
      <c r="M742" s="196"/>
    </row>
    <row r="743" spans="1:13" ht="14.4" x14ac:dyDescent="0.3">
      <c r="A743" s="189" t="str">
        <f ca="1">IFERROR(__xludf.DUMMYFUNCTION("""COMPUTED_VALUE"""),"HF")</f>
        <v>HF</v>
      </c>
      <c r="B743" s="195" t="str">
        <f ca="1">IFERROR(__xludf.DUMMYFUNCTION("""COMPUTED_VALUE"""),"Josie Odom")</f>
        <v>Josie Odom</v>
      </c>
      <c r="C743" s="189">
        <f ca="1">IFERROR(__xludf.DUMMYFUNCTION("""COMPUTED_VALUE"""),10)</f>
        <v>10</v>
      </c>
      <c r="D743" s="189" t="str">
        <f ca="1">IFERROR(__xludf.DUMMYFUNCTION("""COMPUTED_VALUE"""),"G")</f>
        <v>G</v>
      </c>
      <c r="E743" s="189" t="str">
        <f ca="1">IFERROR(__xludf.DUMMYFUNCTION("""COMPUTED_VALUE"""),"F")</f>
        <v>F</v>
      </c>
      <c r="F743" s="189" t="str">
        <f ca="1">IFERROR(__xludf.DUMMYFUNCTION("""COMPUTED_VALUE"""),"J")</f>
        <v>J</v>
      </c>
      <c r="G743" s="189">
        <f ca="1">IFERROR(__xludf.DUMMYFUNCTION("""COMPUTED_VALUE"""),4)</f>
        <v>4</v>
      </c>
      <c r="H743" s="196"/>
      <c r="I743" s="196"/>
      <c r="J743" s="196"/>
      <c r="K743" s="196"/>
      <c r="L743" s="196" t="str">
        <v/>
      </c>
      <c r="M743" s="196"/>
    </row>
    <row r="744" spans="1:13" ht="14.4" x14ac:dyDescent="0.3">
      <c r="A744" s="189" t="str">
        <f ca="1">IFERROR(__xludf.DUMMYFUNCTION("""COMPUTED_VALUE"""),"HF")</f>
        <v>HF</v>
      </c>
      <c r="B744" s="195" t="str">
        <f ca="1">IFERROR(__xludf.DUMMYFUNCTION("""COMPUTED_VALUE"""),"Kate Copes")</f>
        <v>Kate Copes</v>
      </c>
      <c r="C744" s="189">
        <f ca="1">IFERROR(__xludf.DUMMYFUNCTION("""COMPUTED_VALUE"""),8)</f>
        <v>8</v>
      </c>
      <c r="D744" s="189" t="str">
        <f ca="1">IFERROR(__xludf.DUMMYFUNCTION("""COMPUTED_VALUE"""),"G")</f>
        <v>G</v>
      </c>
      <c r="E744" s="189" t="str">
        <f ca="1">IFERROR(__xludf.DUMMYFUNCTION("""COMPUTED_VALUE"""),"F")</f>
        <v>F</v>
      </c>
      <c r="F744" s="189" t="str">
        <f ca="1">IFERROR(__xludf.DUMMYFUNCTION("""COMPUTED_VALUE"""),"J")</f>
        <v>J</v>
      </c>
      <c r="G744" s="189">
        <f ca="1">IFERROR(__xludf.DUMMYFUNCTION("""COMPUTED_VALUE"""),4)</f>
        <v>4</v>
      </c>
      <c r="H744" s="196"/>
      <c r="I744" s="196"/>
      <c r="J744" s="196"/>
      <c r="K744" s="196"/>
      <c r="L744" s="196" t="str">
        <v/>
      </c>
      <c r="M744" s="196"/>
    </row>
    <row r="745" spans="1:13" ht="14.4" x14ac:dyDescent="0.3">
      <c r="A745" s="189" t="str">
        <f ca="1">IFERROR(__xludf.DUMMYFUNCTION("""COMPUTED_VALUE"""),"HF")</f>
        <v>HF</v>
      </c>
      <c r="B745" s="195" t="str">
        <f ca="1">IFERROR(__xludf.DUMMYFUNCTION("""COMPUTED_VALUE"""),"Lexi Cook")</f>
        <v>Lexi Cook</v>
      </c>
      <c r="C745" s="189">
        <f ca="1">IFERROR(__xludf.DUMMYFUNCTION("""COMPUTED_VALUE"""),7)</f>
        <v>7</v>
      </c>
      <c r="D745" s="189" t="str">
        <f ca="1">IFERROR(__xludf.DUMMYFUNCTION("""COMPUTED_VALUE"""),"G")</f>
        <v>G</v>
      </c>
      <c r="E745" s="189" t="str">
        <f ca="1">IFERROR(__xludf.DUMMYFUNCTION("""COMPUTED_VALUE"""),"F")</f>
        <v>F</v>
      </c>
      <c r="F745" s="189" t="str">
        <f ca="1">IFERROR(__xludf.DUMMYFUNCTION("""COMPUTED_VALUE"""),"J")</f>
        <v>J</v>
      </c>
      <c r="G745" s="189">
        <f ca="1">IFERROR(__xludf.DUMMYFUNCTION("""COMPUTED_VALUE"""),4)</f>
        <v>4</v>
      </c>
      <c r="H745" s="196"/>
      <c r="I745" s="196"/>
      <c r="J745" s="196"/>
      <c r="K745" s="196"/>
      <c r="L745" s="196" t="str">
        <v/>
      </c>
      <c r="M745" s="196"/>
    </row>
    <row r="746" spans="1:13" ht="14.4" x14ac:dyDescent="0.3">
      <c r="A746" s="189" t="str">
        <f ca="1">IFERROR(__xludf.DUMMYFUNCTION("""COMPUTED_VALUE"""),"HF")</f>
        <v>HF</v>
      </c>
      <c r="B746" s="195" t="str">
        <f ca="1">IFERROR(__xludf.DUMMYFUNCTION("""COMPUTED_VALUE"""),"Mila Gonzalez")</f>
        <v>Mila Gonzalez</v>
      </c>
      <c r="C746" s="189">
        <f ca="1">IFERROR(__xludf.DUMMYFUNCTION("""COMPUTED_VALUE"""),8)</f>
        <v>8</v>
      </c>
      <c r="D746" s="189" t="str">
        <f ca="1">IFERROR(__xludf.DUMMYFUNCTION("""COMPUTED_VALUE"""),"G")</f>
        <v>G</v>
      </c>
      <c r="E746" s="189" t="str">
        <f ca="1">IFERROR(__xludf.DUMMYFUNCTION("""COMPUTED_VALUE"""),"F")</f>
        <v>F</v>
      </c>
      <c r="F746" s="189" t="str">
        <f ca="1">IFERROR(__xludf.DUMMYFUNCTION("""COMPUTED_VALUE"""),"J")</f>
        <v>J</v>
      </c>
      <c r="G746" s="189">
        <f ca="1">IFERROR(__xludf.DUMMYFUNCTION("""COMPUTED_VALUE"""),4)</f>
        <v>4</v>
      </c>
      <c r="H746" s="196"/>
      <c r="I746" s="196"/>
      <c r="J746" s="196"/>
      <c r="K746" s="196"/>
      <c r="L746" s="196" t="str">
        <v/>
      </c>
      <c r="M746" s="196"/>
    </row>
    <row r="747" spans="1:13" ht="14.4" x14ac:dyDescent="0.3">
      <c r="A747" s="189" t="str">
        <f ca="1">IFERROR(__xludf.DUMMYFUNCTION("""COMPUTED_VALUE"""),"HF")</f>
        <v>HF</v>
      </c>
      <c r="B747" s="195" t="str">
        <f ca="1">IFERROR(__xludf.DUMMYFUNCTION("""COMPUTED_VALUE"""),"Aiden Taylor")</f>
        <v>Aiden Taylor</v>
      </c>
      <c r="C747" s="189">
        <f ca="1">IFERROR(__xludf.DUMMYFUNCTION("""COMPUTED_VALUE"""),10)</f>
        <v>10</v>
      </c>
      <c r="D747" s="189" t="str">
        <f ca="1">IFERROR(__xludf.DUMMYFUNCTION("""COMPUTED_VALUE"""),"B")</f>
        <v>B</v>
      </c>
      <c r="E747" s="189" t="str">
        <f ca="1">IFERROR(__xludf.DUMMYFUNCTION("""COMPUTED_VALUE"""),"F")</f>
        <v>F</v>
      </c>
      <c r="F747" s="189" t="str">
        <f ca="1">IFERROR(__xludf.DUMMYFUNCTION("""COMPUTED_VALUE"""),"J")</f>
        <v>J</v>
      </c>
      <c r="G747" s="189">
        <f ca="1">IFERROR(__xludf.DUMMYFUNCTION("""COMPUTED_VALUE"""),4)</f>
        <v>4</v>
      </c>
      <c r="H747" s="196"/>
      <c r="I747" s="196"/>
      <c r="J747" s="196"/>
      <c r="K747" s="196"/>
      <c r="L747" s="196" t="str">
        <v/>
      </c>
      <c r="M747" s="196"/>
    </row>
    <row r="748" spans="1:13" ht="14.4" x14ac:dyDescent="0.3">
      <c r="A748" s="189" t="str">
        <f ca="1">IFERROR(__xludf.DUMMYFUNCTION("""COMPUTED_VALUE"""),"HF")</f>
        <v>HF</v>
      </c>
      <c r="B748" s="195" t="str">
        <f ca="1">IFERROR(__xludf.DUMMYFUNCTION("""COMPUTED_VALUE"""),"Ben Lyon")</f>
        <v>Ben Lyon</v>
      </c>
      <c r="C748" s="189">
        <f ca="1">IFERROR(__xludf.DUMMYFUNCTION("""COMPUTED_VALUE"""),9)</f>
        <v>9</v>
      </c>
      <c r="D748" s="189" t="str">
        <f ca="1">IFERROR(__xludf.DUMMYFUNCTION("""COMPUTED_VALUE"""),"B")</f>
        <v>B</v>
      </c>
      <c r="E748" s="189" t="str">
        <f ca="1">IFERROR(__xludf.DUMMYFUNCTION("""COMPUTED_VALUE"""),"F")</f>
        <v>F</v>
      </c>
      <c r="F748" s="189" t="str">
        <f ca="1">IFERROR(__xludf.DUMMYFUNCTION("""COMPUTED_VALUE"""),"J")</f>
        <v>J</v>
      </c>
      <c r="G748" s="189">
        <f ca="1">IFERROR(__xludf.DUMMYFUNCTION("""COMPUTED_VALUE"""),4)</f>
        <v>4</v>
      </c>
      <c r="H748" s="196" t="s">
        <v>319</v>
      </c>
      <c r="I748" s="196"/>
      <c r="J748" s="196" t="s">
        <v>29</v>
      </c>
      <c r="K748" s="196"/>
      <c r="L748" s="196" t="str">
        <v xml:space="preserve"> 47.30</v>
      </c>
      <c r="M748" s="196"/>
    </row>
    <row r="749" spans="1:13" ht="14.4" x14ac:dyDescent="0.3">
      <c r="A749" s="189" t="str">
        <f ca="1">IFERROR(__xludf.DUMMYFUNCTION("""COMPUTED_VALUE"""),"HF")</f>
        <v>HF</v>
      </c>
      <c r="B749" s="195" t="str">
        <f ca="1">IFERROR(__xludf.DUMMYFUNCTION("""COMPUTED_VALUE"""),"Eli Meek")</f>
        <v>Eli Meek</v>
      </c>
      <c r="C749" s="189">
        <f ca="1">IFERROR(__xludf.DUMMYFUNCTION("""COMPUTED_VALUE"""),10)</f>
        <v>10</v>
      </c>
      <c r="D749" s="189" t="str">
        <f ca="1">IFERROR(__xludf.DUMMYFUNCTION("""COMPUTED_VALUE"""),"B")</f>
        <v>B</v>
      </c>
      <c r="E749" s="189" t="str">
        <f ca="1">IFERROR(__xludf.DUMMYFUNCTION("""COMPUTED_VALUE"""),"F")</f>
        <v>F</v>
      </c>
      <c r="F749" s="189" t="str">
        <f ca="1">IFERROR(__xludf.DUMMYFUNCTION("""COMPUTED_VALUE"""),"J")</f>
        <v>J</v>
      </c>
      <c r="G749" s="189">
        <f ca="1">IFERROR(__xludf.DUMMYFUNCTION("""COMPUTED_VALUE"""),4)</f>
        <v>4</v>
      </c>
      <c r="H749" s="196"/>
      <c r="I749" s="196"/>
      <c r="J749" s="196"/>
      <c r="K749" s="196"/>
      <c r="L749" s="196" t="str">
        <v/>
      </c>
      <c r="M749" s="196"/>
    </row>
    <row r="750" spans="1:13" ht="14.4" x14ac:dyDescent="0.3">
      <c r="A750" s="189" t="str">
        <f ca="1">IFERROR(__xludf.DUMMYFUNCTION("""COMPUTED_VALUE"""),"HF")</f>
        <v>HF</v>
      </c>
      <c r="B750" s="195" t="str">
        <f ca="1">IFERROR(__xludf.DUMMYFUNCTION("""COMPUTED_VALUE"""),"Espen Bassett")</f>
        <v>Espen Bassett</v>
      </c>
      <c r="C750" s="189">
        <f ca="1">IFERROR(__xludf.DUMMYFUNCTION("""COMPUTED_VALUE"""),10)</f>
        <v>10</v>
      </c>
      <c r="D750" s="189" t="str">
        <f ca="1">IFERROR(__xludf.DUMMYFUNCTION("""COMPUTED_VALUE"""),"B")</f>
        <v>B</v>
      </c>
      <c r="E750" s="189" t="str">
        <f ca="1">IFERROR(__xludf.DUMMYFUNCTION("""COMPUTED_VALUE"""),"F")</f>
        <v>F</v>
      </c>
      <c r="F750" s="189" t="str">
        <f ca="1">IFERROR(__xludf.DUMMYFUNCTION("""COMPUTED_VALUE"""),"J")</f>
        <v>J</v>
      </c>
      <c r="G750" s="189">
        <f ca="1">IFERROR(__xludf.DUMMYFUNCTION("""COMPUTED_VALUE"""),4)</f>
        <v>4</v>
      </c>
      <c r="H750" s="196" t="s">
        <v>320</v>
      </c>
      <c r="I750" s="196"/>
      <c r="J750" s="196" t="s">
        <v>29</v>
      </c>
      <c r="K750" s="196"/>
      <c r="L750" s="196" t="str">
        <v xml:space="preserve"> 51.55</v>
      </c>
      <c r="M750" s="196"/>
    </row>
    <row r="751" spans="1:13" ht="14.4" x14ac:dyDescent="0.3">
      <c r="A751" s="189" t="str">
        <f ca="1">IFERROR(__xludf.DUMMYFUNCTION("""COMPUTED_VALUE"""),"HF")</f>
        <v>HF</v>
      </c>
      <c r="B751" s="195" t="str">
        <f ca="1">IFERROR(__xludf.DUMMYFUNCTION("""COMPUTED_VALUE"""),"Luke Payne")</f>
        <v>Luke Payne</v>
      </c>
      <c r="C751" s="189">
        <f ca="1">IFERROR(__xludf.DUMMYFUNCTION("""COMPUTED_VALUE"""),9)</f>
        <v>9</v>
      </c>
      <c r="D751" s="189" t="str">
        <f ca="1">IFERROR(__xludf.DUMMYFUNCTION("""COMPUTED_VALUE"""),"B")</f>
        <v>B</v>
      </c>
      <c r="E751" s="189" t="str">
        <f ca="1">IFERROR(__xludf.DUMMYFUNCTION("""COMPUTED_VALUE"""),"F")</f>
        <v>F</v>
      </c>
      <c r="F751" s="189" t="str">
        <f ca="1">IFERROR(__xludf.DUMMYFUNCTION("""COMPUTED_VALUE"""),"J")</f>
        <v>J</v>
      </c>
      <c r="G751" s="189">
        <f ca="1">IFERROR(__xludf.DUMMYFUNCTION("""COMPUTED_VALUE"""),4)</f>
        <v>4</v>
      </c>
      <c r="H751" s="196" t="s">
        <v>321</v>
      </c>
      <c r="I751" s="196"/>
      <c r="J751" s="196" t="s">
        <v>29</v>
      </c>
      <c r="K751" s="196"/>
      <c r="L751" s="196" t="str">
        <v xml:space="preserve"> 45.15</v>
      </c>
      <c r="M751" s="196"/>
    </row>
    <row r="752" spans="1:13" ht="14.4" x14ac:dyDescent="0.3">
      <c r="A752" s="189" t="str">
        <f ca="1">IFERROR(__xludf.DUMMYFUNCTION("""COMPUTED_VALUE"""),"HF")</f>
        <v>HF</v>
      </c>
      <c r="B752" s="195" t="str">
        <f ca="1">IFERROR(__xludf.DUMMYFUNCTION("""COMPUTED_VALUE"""),"Max Misiaszek")</f>
        <v>Max Misiaszek</v>
      </c>
      <c r="C752" s="189">
        <f ca="1">IFERROR(__xludf.DUMMYFUNCTION("""COMPUTED_VALUE"""),10)</f>
        <v>10</v>
      </c>
      <c r="D752" s="189" t="str">
        <f ca="1">IFERROR(__xludf.DUMMYFUNCTION("""COMPUTED_VALUE"""),"B")</f>
        <v>B</v>
      </c>
      <c r="E752" s="189" t="str">
        <f ca="1">IFERROR(__xludf.DUMMYFUNCTION("""COMPUTED_VALUE"""),"F")</f>
        <v>F</v>
      </c>
      <c r="F752" s="189" t="str">
        <f ca="1">IFERROR(__xludf.DUMMYFUNCTION("""COMPUTED_VALUE"""),"J")</f>
        <v>J</v>
      </c>
      <c r="G752" s="189">
        <f ca="1">IFERROR(__xludf.DUMMYFUNCTION("""COMPUTED_VALUE"""),4)</f>
        <v>4</v>
      </c>
      <c r="H752" s="196"/>
      <c r="I752" s="196"/>
      <c r="J752" s="196"/>
      <c r="K752" s="196"/>
      <c r="L752" s="196" t="str">
        <v/>
      </c>
      <c r="M752" s="196"/>
    </row>
    <row r="753" spans="1:13" ht="14.4" x14ac:dyDescent="0.3">
      <c r="A753" s="189" t="str">
        <f ca="1">IFERROR(__xludf.DUMMYFUNCTION("""COMPUTED_VALUE"""),"HF")</f>
        <v>HF</v>
      </c>
      <c r="B753" s="195" t="str">
        <f ca="1">IFERROR(__xludf.DUMMYFUNCTION("""COMPUTED_VALUE"""),"Owen Bassett")</f>
        <v>Owen Bassett</v>
      </c>
      <c r="C753" s="189">
        <f ca="1">IFERROR(__xludf.DUMMYFUNCTION("""COMPUTED_VALUE"""),7)</f>
        <v>7</v>
      </c>
      <c r="D753" s="189" t="str">
        <f ca="1">IFERROR(__xludf.DUMMYFUNCTION("""COMPUTED_VALUE"""),"B")</f>
        <v>B</v>
      </c>
      <c r="E753" s="189" t="str">
        <f ca="1">IFERROR(__xludf.DUMMYFUNCTION("""COMPUTED_VALUE"""),"F")</f>
        <v>F</v>
      </c>
      <c r="F753" s="189" t="str">
        <f ca="1">IFERROR(__xludf.DUMMYFUNCTION("""COMPUTED_VALUE"""),"J")</f>
        <v>J</v>
      </c>
      <c r="G753" s="189">
        <f ca="1">IFERROR(__xludf.DUMMYFUNCTION("""COMPUTED_VALUE"""),4)</f>
        <v>4</v>
      </c>
      <c r="H753" s="196" t="s">
        <v>322</v>
      </c>
      <c r="I753" s="196"/>
      <c r="J753" s="196" t="s">
        <v>29</v>
      </c>
      <c r="K753" s="196"/>
      <c r="L753" s="196" t="str">
        <v xml:space="preserve"> 34.45</v>
      </c>
      <c r="M753" s="196"/>
    </row>
    <row r="754" spans="1:13" ht="14.4" x14ac:dyDescent="0.3">
      <c r="A754" s="189" t="str">
        <f ca="1">IFERROR(__xludf.DUMMYFUNCTION("""COMPUTED_VALUE"""),"HF")</f>
        <v>HF</v>
      </c>
      <c r="B754" s="195" t="str">
        <f ca="1">IFERROR(__xludf.DUMMYFUNCTION("""COMPUTED_VALUE"""),"West Carter")</f>
        <v>West Carter</v>
      </c>
      <c r="C754" s="189">
        <f ca="1">IFERROR(__xludf.DUMMYFUNCTION("""COMPUTED_VALUE"""),10)</f>
        <v>10</v>
      </c>
      <c r="D754" s="189" t="str">
        <f ca="1">IFERROR(__xludf.DUMMYFUNCTION("""COMPUTED_VALUE"""),"B")</f>
        <v>B</v>
      </c>
      <c r="E754" s="189" t="str">
        <f ca="1">IFERROR(__xludf.DUMMYFUNCTION("""COMPUTED_VALUE"""),"F")</f>
        <v>F</v>
      </c>
      <c r="F754" s="189" t="str">
        <f ca="1">IFERROR(__xludf.DUMMYFUNCTION("""COMPUTED_VALUE"""),"J")</f>
        <v>J</v>
      </c>
      <c r="G754" s="189">
        <f ca="1">IFERROR(__xludf.DUMMYFUNCTION("""COMPUTED_VALUE"""),4)</f>
        <v>4</v>
      </c>
      <c r="H754" s="196" t="s">
        <v>323</v>
      </c>
      <c r="I754" s="196"/>
      <c r="J754" s="196" t="s">
        <v>29</v>
      </c>
      <c r="K754" s="196"/>
      <c r="L754" s="196" t="str">
        <v xml:space="preserve"> 39.60</v>
      </c>
      <c r="M754" s="196"/>
    </row>
    <row r="755" spans="1:13" ht="14.4" x14ac:dyDescent="0.3">
      <c r="A755" s="189" t="str">
        <f ca="1">IFERROR(__xludf.DUMMYFUNCTION("""COMPUTED_VALUE"""),"HF")</f>
        <v>HF</v>
      </c>
      <c r="B755" s="195" t="str">
        <f ca="1">IFERROR(__xludf.DUMMYFUNCTION("""COMPUTED_VALUE"""),"Wyatt Neighbors")</f>
        <v>Wyatt Neighbors</v>
      </c>
      <c r="C755" s="189">
        <f ca="1">IFERROR(__xludf.DUMMYFUNCTION("""COMPUTED_VALUE"""),7)</f>
        <v>7</v>
      </c>
      <c r="D755" s="189" t="str">
        <f ca="1">IFERROR(__xludf.DUMMYFUNCTION("""COMPUTED_VALUE"""),"B")</f>
        <v>B</v>
      </c>
      <c r="E755" s="189" t="str">
        <f ca="1">IFERROR(__xludf.DUMMYFUNCTION("""COMPUTED_VALUE"""),"F")</f>
        <v>F</v>
      </c>
      <c r="F755" s="189" t="str">
        <f ca="1">IFERROR(__xludf.DUMMYFUNCTION("""COMPUTED_VALUE"""),"J")</f>
        <v>J</v>
      </c>
      <c r="G755" s="189">
        <f ca="1">IFERROR(__xludf.DUMMYFUNCTION("""COMPUTED_VALUE"""),4)</f>
        <v>4</v>
      </c>
      <c r="H755" s="196"/>
      <c r="I755" s="196"/>
      <c r="J755" s="196"/>
      <c r="K755" s="196"/>
      <c r="L755" s="196" t="str">
        <v/>
      </c>
      <c r="M755" s="196"/>
    </row>
    <row r="756" spans="1:13" ht="14.4" x14ac:dyDescent="0.3">
      <c r="A756" s="189" t="str">
        <f ca="1">IFERROR(__xludf.DUMMYFUNCTION("""COMPUTED_VALUE"""),"HF")</f>
        <v>HF</v>
      </c>
      <c r="B756" s="195" t="str">
        <f ca="1">IFERROR(__xludf.DUMMYFUNCTION("""COMPUTED_VALUE"""),"Emma Kowalchick")</f>
        <v>Emma Kowalchick</v>
      </c>
      <c r="C756" s="189">
        <f ca="1">IFERROR(__xludf.DUMMYFUNCTION("""COMPUTED_VALUE"""),14)</f>
        <v>14</v>
      </c>
      <c r="D756" s="189" t="str">
        <f ca="1">IFERROR(__xludf.DUMMYFUNCTION("""COMPUTED_VALUE"""),"G")</f>
        <v>G</v>
      </c>
      <c r="E756" s="189" t="str">
        <f ca="1">IFERROR(__xludf.DUMMYFUNCTION("""COMPUTED_VALUE"""),"I")</f>
        <v>I</v>
      </c>
      <c r="F756" s="189" t="str">
        <f ca="1">IFERROR(__xludf.DUMMYFUNCTION("""COMPUTED_VALUE"""),"S")</f>
        <v>S</v>
      </c>
      <c r="G756" s="189">
        <f ca="1">IFERROR(__xludf.DUMMYFUNCTION("""COMPUTED_VALUE"""),4)</f>
        <v>4</v>
      </c>
      <c r="H756" s="196" t="s">
        <v>324</v>
      </c>
      <c r="I756" s="196"/>
      <c r="J756" s="196" t="s">
        <v>29</v>
      </c>
      <c r="K756" s="196"/>
      <c r="L756" s="196" t="str">
        <v xml:space="preserve"> 127.00</v>
      </c>
      <c r="M756" s="196"/>
    </row>
    <row r="757" spans="1:13" ht="14.4" x14ac:dyDescent="0.3">
      <c r="A757" s="189" t="str">
        <f ca="1">IFERROR(__xludf.DUMMYFUNCTION("""COMPUTED_VALUE"""),"HF")</f>
        <v>HF</v>
      </c>
      <c r="B757" s="195" t="str">
        <f ca="1">IFERROR(__xludf.DUMMYFUNCTION("""COMPUTED_VALUE"""),"Sydney Stewart")</f>
        <v>Sydney Stewart</v>
      </c>
      <c r="C757" s="189">
        <f ca="1">IFERROR(__xludf.DUMMYFUNCTION("""COMPUTED_VALUE"""),13)</f>
        <v>13</v>
      </c>
      <c r="D757" s="189" t="str">
        <f ca="1">IFERROR(__xludf.DUMMYFUNCTION("""COMPUTED_VALUE"""),"G")</f>
        <v>G</v>
      </c>
      <c r="E757" s="189" t="str">
        <f ca="1">IFERROR(__xludf.DUMMYFUNCTION("""COMPUTED_VALUE"""),"I")</f>
        <v>I</v>
      </c>
      <c r="F757" s="189" t="str">
        <f ca="1">IFERROR(__xludf.DUMMYFUNCTION("""COMPUTED_VALUE"""),"S")</f>
        <v>S</v>
      </c>
      <c r="G757" s="189">
        <f ca="1">IFERROR(__xludf.DUMMYFUNCTION("""COMPUTED_VALUE"""),4)</f>
        <v>4</v>
      </c>
      <c r="H757" s="196"/>
      <c r="I757" s="196"/>
      <c r="J757" s="196"/>
      <c r="K757" s="196"/>
      <c r="L757" s="196" t="str">
        <v/>
      </c>
      <c r="M757" s="196"/>
    </row>
    <row r="758" spans="1:13" ht="14.4" x14ac:dyDescent="0.3">
      <c r="A758" s="189" t="str">
        <f ca="1">IFERROR(__xludf.DUMMYFUNCTION("""COMPUTED_VALUE"""),"HF")</f>
        <v>HF</v>
      </c>
      <c r="B758" s="195" t="str">
        <f ca="1">IFERROR(__xludf.DUMMYFUNCTION("""COMPUTED_VALUE"""),"Michael Davis")</f>
        <v>Michael Davis</v>
      </c>
      <c r="C758" s="189">
        <f ca="1">IFERROR(__xludf.DUMMYFUNCTION("""COMPUTED_VALUE"""),13)</f>
        <v>13</v>
      </c>
      <c r="D758" s="189" t="str">
        <f ca="1">IFERROR(__xludf.DUMMYFUNCTION("""COMPUTED_VALUE"""),"B")</f>
        <v>B</v>
      </c>
      <c r="E758" s="189" t="str">
        <f ca="1">IFERROR(__xludf.DUMMYFUNCTION("""COMPUTED_VALUE"""),"I")</f>
        <v>I</v>
      </c>
      <c r="F758" s="189" t="str">
        <f ca="1">IFERROR(__xludf.DUMMYFUNCTION("""COMPUTED_VALUE"""),"S")</f>
        <v>S</v>
      </c>
      <c r="G758" s="189">
        <f ca="1">IFERROR(__xludf.DUMMYFUNCTION("""COMPUTED_VALUE"""),4)</f>
        <v>4</v>
      </c>
      <c r="H758" s="196" t="s">
        <v>325</v>
      </c>
      <c r="I758" s="196"/>
      <c r="J758" s="196" t="s">
        <v>29</v>
      </c>
      <c r="K758" s="196"/>
      <c r="L758" s="196" t="str">
        <v xml:space="preserve"> 100.05</v>
      </c>
      <c r="M758" s="196"/>
    </row>
    <row r="759" spans="1:13" ht="14.4" x14ac:dyDescent="0.3">
      <c r="A759" s="189" t="str">
        <f ca="1">IFERROR(__xludf.DUMMYFUNCTION("""COMPUTED_VALUE"""),"HF")</f>
        <v>HF</v>
      </c>
      <c r="B759" s="195" t="str">
        <f ca="1">IFERROR(__xludf.DUMMYFUNCTION("""COMPUTED_VALUE"""),"Nate Johnson")</f>
        <v>Nate Johnson</v>
      </c>
      <c r="C759" s="189">
        <f ca="1">IFERROR(__xludf.DUMMYFUNCTION("""COMPUTED_VALUE"""),13)</f>
        <v>13</v>
      </c>
      <c r="D759" s="189" t="str">
        <f ca="1">IFERROR(__xludf.DUMMYFUNCTION("""COMPUTED_VALUE"""),"B")</f>
        <v>B</v>
      </c>
      <c r="E759" s="189" t="str">
        <f ca="1">IFERROR(__xludf.DUMMYFUNCTION("""COMPUTED_VALUE"""),"I")</f>
        <v>I</v>
      </c>
      <c r="F759" s="189" t="str">
        <f ca="1">IFERROR(__xludf.DUMMYFUNCTION("""COMPUTED_VALUE"""),"S")</f>
        <v>S</v>
      </c>
      <c r="G759" s="189">
        <f ca="1">IFERROR(__xludf.DUMMYFUNCTION("""COMPUTED_VALUE"""),4)</f>
        <v>4</v>
      </c>
      <c r="H759" s="196" t="s">
        <v>112</v>
      </c>
      <c r="I759" s="196"/>
      <c r="J759" s="196" t="s">
        <v>29</v>
      </c>
      <c r="K759" s="196"/>
      <c r="L759" s="196" t="str">
        <v xml:space="preserve"> 113.65</v>
      </c>
      <c r="M759" s="196"/>
    </row>
    <row r="760" spans="1:13" ht="14.4" x14ac:dyDescent="0.3">
      <c r="A760" s="189" t="str">
        <f ca="1">IFERROR(__xludf.DUMMYFUNCTION("""COMPUTED_VALUE"""),"HF")</f>
        <v>HF</v>
      </c>
      <c r="B760" s="195" t="str">
        <f ca="1">IFERROR(__xludf.DUMMYFUNCTION("""COMPUTED_VALUE"""),"Allie Pearson")</f>
        <v>Allie Pearson</v>
      </c>
      <c r="C760" s="189">
        <f ca="1">IFERROR(__xludf.DUMMYFUNCTION("""COMPUTED_VALUE"""),11)</f>
        <v>11</v>
      </c>
      <c r="D760" s="189" t="str">
        <f ca="1">IFERROR(__xludf.DUMMYFUNCTION("""COMPUTED_VALUE"""),"G")</f>
        <v>G</v>
      </c>
      <c r="E760" s="189" t="str">
        <f ca="1">IFERROR(__xludf.DUMMYFUNCTION("""COMPUTED_VALUE"""),"J")</f>
        <v>J</v>
      </c>
      <c r="F760" s="189" t="str">
        <f ca="1">IFERROR(__xludf.DUMMYFUNCTION("""COMPUTED_VALUE"""),"I")</f>
        <v>I</v>
      </c>
      <c r="G760" s="189">
        <f ca="1">IFERROR(__xludf.DUMMYFUNCTION("""COMPUTED_VALUE"""),4)</f>
        <v>4</v>
      </c>
      <c r="H760" s="196"/>
      <c r="I760" s="196"/>
      <c r="J760" s="196"/>
      <c r="K760" s="196"/>
      <c r="L760" s="196" t="str">
        <v/>
      </c>
      <c r="M760" s="196"/>
    </row>
    <row r="761" spans="1:13" ht="14.4" x14ac:dyDescent="0.3">
      <c r="A761" s="189" t="str">
        <f ca="1">IFERROR(__xludf.DUMMYFUNCTION("""COMPUTED_VALUE"""),"HF")</f>
        <v>HF</v>
      </c>
      <c r="B761" s="195" t="str">
        <f ca="1">IFERROR(__xludf.DUMMYFUNCTION("""COMPUTED_VALUE"""),"Harper Wilder")</f>
        <v>Harper Wilder</v>
      </c>
      <c r="C761" s="189">
        <f ca="1">IFERROR(__xludf.DUMMYFUNCTION("""COMPUTED_VALUE"""),11)</f>
        <v>11</v>
      </c>
      <c r="D761" s="189" t="str">
        <f ca="1">IFERROR(__xludf.DUMMYFUNCTION("""COMPUTED_VALUE"""),"G")</f>
        <v>G</v>
      </c>
      <c r="E761" s="189" t="str">
        <f ca="1">IFERROR(__xludf.DUMMYFUNCTION("""COMPUTED_VALUE"""),"J")</f>
        <v>J</v>
      </c>
      <c r="F761" s="189" t="str">
        <f ca="1">IFERROR(__xludf.DUMMYFUNCTION("""COMPUTED_VALUE"""),"I")</f>
        <v>I</v>
      </c>
      <c r="G761" s="189">
        <f ca="1">IFERROR(__xludf.DUMMYFUNCTION("""COMPUTED_VALUE"""),4)</f>
        <v>4</v>
      </c>
      <c r="H761" s="196"/>
      <c r="I761" s="196"/>
      <c r="J761" s="196"/>
      <c r="K761" s="196"/>
      <c r="L761" s="196" t="str">
        <v/>
      </c>
      <c r="M761" s="196"/>
    </row>
    <row r="762" spans="1:13" ht="14.4" x14ac:dyDescent="0.3">
      <c r="A762" s="189" t="str">
        <f ca="1">IFERROR(__xludf.DUMMYFUNCTION("""COMPUTED_VALUE"""),"HF")</f>
        <v>HF</v>
      </c>
      <c r="B762" s="195" t="str">
        <f ca="1">IFERROR(__xludf.DUMMYFUNCTION("""COMPUTED_VALUE"""),"Julianna Butler")</f>
        <v>Julianna Butler</v>
      </c>
      <c r="C762" s="189">
        <f ca="1">IFERROR(__xludf.DUMMYFUNCTION("""COMPUTED_VALUE"""),12)</f>
        <v>12</v>
      </c>
      <c r="D762" s="189" t="str">
        <f ca="1">IFERROR(__xludf.DUMMYFUNCTION("""COMPUTED_VALUE"""),"G")</f>
        <v>G</v>
      </c>
      <c r="E762" s="189" t="str">
        <f ca="1">IFERROR(__xludf.DUMMYFUNCTION("""COMPUTED_VALUE"""),"J")</f>
        <v>J</v>
      </c>
      <c r="F762" s="189" t="str">
        <f ca="1">IFERROR(__xludf.DUMMYFUNCTION("""COMPUTED_VALUE"""),"I")</f>
        <v>I</v>
      </c>
      <c r="G762" s="189">
        <f ca="1">IFERROR(__xludf.DUMMYFUNCTION("""COMPUTED_VALUE"""),4)</f>
        <v>4</v>
      </c>
      <c r="H762" s="196" t="s">
        <v>326</v>
      </c>
      <c r="I762" s="196"/>
      <c r="J762" s="196" t="s">
        <v>29</v>
      </c>
      <c r="K762" s="196"/>
      <c r="L762" s="196" t="str">
        <v xml:space="preserve"> 96.50</v>
      </c>
      <c r="M762" s="196"/>
    </row>
    <row r="763" spans="1:13" ht="14.4" x14ac:dyDescent="0.3">
      <c r="A763" s="189" t="str">
        <f ca="1">IFERROR(__xludf.DUMMYFUNCTION("""COMPUTED_VALUE"""),"HF")</f>
        <v>HF</v>
      </c>
      <c r="B763" s="195" t="str">
        <f ca="1">IFERROR(__xludf.DUMMYFUNCTION("""COMPUTED_VALUE"""),"Jack O'Donnell")</f>
        <v>Jack O'Donnell</v>
      </c>
      <c r="C763" s="189">
        <f ca="1">IFERROR(__xludf.DUMMYFUNCTION("""COMPUTED_VALUE"""),11)</f>
        <v>11</v>
      </c>
      <c r="D763" s="189" t="str">
        <f ca="1">IFERROR(__xludf.DUMMYFUNCTION("""COMPUTED_VALUE"""),"B")</f>
        <v>B</v>
      </c>
      <c r="E763" s="189" t="str">
        <f ca="1">IFERROR(__xludf.DUMMYFUNCTION("""COMPUTED_VALUE"""),"J")</f>
        <v>J</v>
      </c>
      <c r="F763" s="189" t="str">
        <f ca="1">IFERROR(__xludf.DUMMYFUNCTION("""COMPUTED_VALUE"""),"I")</f>
        <v>I</v>
      </c>
      <c r="G763" s="189">
        <f ca="1">IFERROR(__xludf.DUMMYFUNCTION("""COMPUTED_VALUE"""),4)</f>
        <v>4</v>
      </c>
      <c r="H763" s="196"/>
      <c r="I763" s="196"/>
      <c r="J763" s="196"/>
      <c r="K763" s="196"/>
      <c r="L763" s="196" t="str">
        <v/>
      </c>
      <c r="M763" s="196"/>
    </row>
    <row r="764" spans="1:13" ht="14.4" x14ac:dyDescent="0.3">
      <c r="A764" s="189" t="str">
        <f ca="1">IFERROR(__xludf.DUMMYFUNCTION("""COMPUTED_VALUE"""),"HF")</f>
        <v>HF</v>
      </c>
      <c r="B764" s="195" t="str">
        <f ca="1">IFERROR(__xludf.DUMMYFUNCTION("""COMPUTED_VALUE"""),"Luke Peters")</f>
        <v>Luke Peters</v>
      </c>
      <c r="C764" s="189">
        <f ca="1">IFERROR(__xludf.DUMMYFUNCTION("""COMPUTED_VALUE"""),12)</f>
        <v>12</v>
      </c>
      <c r="D764" s="189" t="str">
        <f ca="1">IFERROR(__xludf.DUMMYFUNCTION("""COMPUTED_VALUE"""),"B")</f>
        <v>B</v>
      </c>
      <c r="E764" s="189" t="str">
        <f ca="1">IFERROR(__xludf.DUMMYFUNCTION("""COMPUTED_VALUE"""),"J")</f>
        <v>J</v>
      </c>
      <c r="F764" s="189" t="str">
        <f ca="1">IFERROR(__xludf.DUMMYFUNCTION("""COMPUTED_VALUE"""),"I")</f>
        <v>I</v>
      </c>
      <c r="G764" s="189">
        <f ca="1">IFERROR(__xludf.DUMMYFUNCTION("""COMPUTED_VALUE"""),4)</f>
        <v>4</v>
      </c>
      <c r="H764" s="196" t="s">
        <v>327</v>
      </c>
      <c r="I764" s="196"/>
      <c r="J764" s="196" t="s">
        <v>29</v>
      </c>
      <c r="K764" s="196"/>
      <c r="L764" s="196" t="str">
        <v xml:space="preserve"> 82.85</v>
      </c>
      <c r="M764" s="196"/>
    </row>
    <row r="765" spans="1:13" ht="14.4" x14ac:dyDescent="0.3">
      <c r="A765" s="189" t="str">
        <f ca="1">IFERROR(__xludf.DUMMYFUNCTION("""COMPUTED_VALUE"""),"HF")</f>
        <v>HF</v>
      </c>
      <c r="B765" s="195" t="str">
        <f ca="1">IFERROR(__xludf.DUMMYFUNCTION("""COMPUTED_VALUE"""),"Will Copes")</f>
        <v>Will Copes</v>
      </c>
      <c r="C765" s="189">
        <f ca="1">IFERROR(__xludf.DUMMYFUNCTION("""COMPUTED_VALUE"""),12)</f>
        <v>12</v>
      </c>
      <c r="D765" s="189" t="str">
        <f ca="1">IFERROR(__xludf.DUMMYFUNCTION("""COMPUTED_VALUE"""),"B")</f>
        <v>B</v>
      </c>
      <c r="E765" s="189" t="str">
        <f ca="1">IFERROR(__xludf.DUMMYFUNCTION("""COMPUTED_VALUE"""),"J")</f>
        <v>J</v>
      </c>
      <c r="F765" s="189" t="str">
        <f ca="1">IFERROR(__xludf.DUMMYFUNCTION("""COMPUTED_VALUE"""),"I")</f>
        <v>I</v>
      </c>
      <c r="G765" s="189">
        <f ca="1">IFERROR(__xludf.DUMMYFUNCTION("""COMPUTED_VALUE"""),4)</f>
        <v>4</v>
      </c>
      <c r="H765" s="196" t="s">
        <v>328</v>
      </c>
      <c r="I765" s="196"/>
      <c r="J765" s="196" t="s">
        <v>29</v>
      </c>
      <c r="K765" s="196"/>
      <c r="L765" s="196" t="str">
        <v xml:space="preserve"> 112.85</v>
      </c>
      <c r="M765" s="196"/>
    </row>
    <row r="766" spans="1:13" ht="14.4" x14ac:dyDescent="0.3">
      <c r="A766" s="189" t="str">
        <f ca="1">IFERROR(__xludf.DUMMYFUNCTION("""COMPUTED_VALUE"""),"HF")</f>
        <v>HF</v>
      </c>
      <c r="B766" s="195" t="str">
        <f ca="1">IFERROR(__xludf.DUMMYFUNCTION("""COMPUTED_VALUE"""),"Clayre Payne")</f>
        <v>Clayre Payne</v>
      </c>
      <c r="C766" s="189">
        <f ca="1">IFERROR(__xludf.DUMMYFUNCTION("""COMPUTED_VALUE"""),15)</f>
        <v>15</v>
      </c>
      <c r="D766" s="189" t="str">
        <f ca="1">IFERROR(__xludf.DUMMYFUNCTION("""COMPUTED_VALUE"""),"G")</f>
        <v>G</v>
      </c>
      <c r="E766" s="189" t="str">
        <f ca="1">IFERROR(__xludf.DUMMYFUNCTION("""COMPUTED_VALUE"""),"S")</f>
        <v>S</v>
      </c>
      <c r="F766" s="189" t="str">
        <f ca="1">IFERROR(__xludf.DUMMYFUNCTION("""COMPUTED_VALUE"""),"S")</f>
        <v>S</v>
      </c>
      <c r="G766" s="189">
        <f ca="1">IFERROR(__xludf.DUMMYFUNCTION("""COMPUTED_VALUE"""),4)</f>
        <v>4</v>
      </c>
      <c r="H766" s="196" t="s">
        <v>329</v>
      </c>
      <c r="I766" s="196"/>
      <c r="J766" s="196" t="s">
        <v>29</v>
      </c>
      <c r="K766" s="196"/>
      <c r="L766" s="196" t="str">
        <v xml:space="preserve"> 151.45</v>
      </c>
      <c r="M766" s="196"/>
    </row>
    <row r="767" spans="1:13" ht="14.4" x14ac:dyDescent="0.3">
      <c r="A767" s="189" t="str">
        <f ca="1">IFERROR(__xludf.DUMMYFUNCTION("""COMPUTED_VALUE"""),"HF")</f>
        <v>HF</v>
      </c>
      <c r="B767" s="195" t="str">
        <f ca="1">IFERROR(__xludf.DUMMYFUNCTION("""COMPUTED_VALUE"""),"Clover Kennelly")</f>
        <v>Clover Kennelly</v>
      </c>
      <c r="C767" s="189">
        <f ca="1">IFERROR(__xludf.DUMMYFUNCTION("""COMPUTED_VALUE"""),15)</f>
        <v>15</v>
      </c>
      <c r="D767" s="189" t="str">
        <f ca="1">IFERROR(__xludf.DUMMYFUNCTION("""COMPUTED_VALUE"""),"G")</f>
        <v>G</v>
      </c>
      <c r="E767" s="189" t="str">
        <f ca="1">IFERROR(__xludf.DUMMYFUNCTION("""COMPUTED_VALUE"""),"S")</f>
        <v>S</v>
      </c>
      <c r="F767" s="189" t="str">
        <f ca="1">IFERROR(__xludf.DUMMYFUNCTION("""COMPUTED_VALUE"""),"S")</f>
        <v>S</v>
      </c>
      <c r="G767" s="189">
        <f ca="1">IFERROR(__xludf.DUMMYFUNCTION("""COMPUTED_VALUE"""),4)</f>
        <v>4</v>
      </c>
      <c r="H767" s="196" t="s">
        <v>330</v>
      </c>
      <c r="I767" s="196"/>
      <c r="J767" s="196" t="s">
        <v>29</v>
      </c>
      <c r="K767" s="196"/>
      <c r="L767" s="196" t="str">
        <v xml:space="preserve"> 133.65</v>
      </c>
      <c r="M767" s="196"/>
    </row>
    <row r="768" spans="1:13" ht="14.4" x14ac:dyDescent="0.3">
      <c r="A768" s="189" t="str">
        <f ca="1">IFERROR(__xludf.DUMMYFUNCTION("""COMPUTED_VALUE"""),"HF")</f>
        <v>HF</v>
      </c>
      <c r="B768" s="195" t="str">
        <f ca="1">IFERROR(__xludf.DUMMYFUNCTION("""COMPUTED_VALUE"""),"Kathleen Ferguson")</f>
        <v>Kathleen Ferguson</v>
      </c>
      <c r="C768" s="189">
        <f ca="1">IFERROR(__xludf.DUMMYFUNCTION("""COMPUTED_VALUE"""),16)</f>
        <v>16</v>
      </c>
      <c r="D768" s="189" t="str">
        <f ca="1">IFERROR(__xludf.DUMMYFUNCTION("""COMPUTED_VALUE"""),"G")</f>
        <v>G</v>
      </c>
      <c r="E768" s="189" t="str">
        <f ca="1">IFERROR(__xludf.DUMMYFUNCTION("""COMPUTED_VALUE"""),"S")</f>
        <v>S</v>
      </c>
      <c r="F768" s="189" t="str">
        <f ca="1">IFERROR(__xludf.DUMMYFUNCTION("""COMPUTED_VALUE"""),"S")</f>
        <v>S</v>
      </c>
      <c r="G768" s="189">
        <f ca="1">IFERROR(__xludf.DUMMYFUNCTION("""COMPUTED_VALUE"""),4)</f>
        <v>4</v>
      </c>
      <c r="H768" s="196"/>
      <c r="I768" s="196"/>
      <c r="J768" s="196"/>
      <c r="K768" s="196"/>
      <c r="L768" s="196" t="str">
        <v/>
      </c>
      <c r="M768" s="196"/>
    </row>
    <row r="769" spans="1:13" ht="14.4" x14ac:dyDescent="0.3">
      <c r="A769" s="189" t="str">
        <f ca="1">IFERROR(__xludf.DUMMYFUNCTION("""COMPUTED_VALUE"""),"HF")</f>
        <v>HF</v>
      </c>
      <c r="B769" s="195" t="str">
        <f ca="1">IFERROR(__xludf.DUMMYFUNCTION("""COMPUTED_VALUE"""),"Maeve McGuire")</f>
        <v>Maeve McGuire</v>
      </c>
      <c r="C769" s="189">
        <f ca="1">IFERROR(__xludf.DUMMYFUNCTION("""COMPUTED_VALUE"""),15)</f>
        <v>15</v>
      </c>
      <c r="D769" s="189" t="str">
        <f ca="1">IFERROR(__xludf.DUMMYFUNCTION("""COMPUTED_VALUE"""),"G")</f>
        <v>G</v>
      </c>
      <c r="E769" s="189" t="str">
        <f ca="1">IFERROR(__xludf.DUMMYFUNCTION("""COMPUTED_VALUE"""),"S")</f>
        <v>S</v>
      </c>
      <c r="F769" s="189" t="str">
        <f ca="1">IFERROR(__xludf.DUMMYFUNCTION("""COMPUTED_VALUE"""),"S")</f>
        <v>S</v>
      </c>
      <c r="G769" s="189">
        <f ca="1">IFERROR(__xludf.DUMMYFUNCTION("""COMPUTED_VALUE"""),4)</f>
        <v>4</v>
      </c>
      <c r="H769" s="196"/>
      <c r="I769" s="196"/>
      <c r="J769" s="196"/>
      <c r="K769" s="196"/>
      <c r="L769" s="196" t="str">
        <v/>
      </c>
      <c r="M769" s="196"/>
    </row>
    <row r="770" spans="1:13" ht="14.4" x14ac:dyDescent="0.3">
      <c r="A770" s="189" t="str">
        <f ca="1">IFERROR(__xludf.DUMMYFUNCTION("""COMPUTED_VALUE"""),"HF")</f>
        <v>HF</v>
      </c>
      <c r="B770" s="195" t="str">
        <f ca="1">IFERROR(__xludf.DUMMYFUNCTION("""COMPUTED_VALUE"""),"Cooper Belt")</f>
        <v>Cooper Belt</v>
      </c>
      <c r="C770" s="189">
        <f ca="1">IFERROR(__xludf.DUMMYFUNCTION("""COMPUTED_VALUE"""),17)</f>
        <v>17</v>
      </c>
      <c r="D770" s="189" t="str">
        <f ca="1">IFERROR(__xludf.DUMMYFUNCTION("""COMPUTED_VALUE"""),"B")</f>
        <v>B</v>
      </c>
      <c r="E770" s="189" t="str">
        <f ca="1">IFERROR(__xludf.DUMMYFUNCTION("""COMPUTED_VALUE"""),"S")</f>
        <v>S</v>
      </c>
      <c r="F770" s="189" t="str">
        <f ca="1">IFERROR(__xludf.DUMMYFUNCTION("""COMPUTED_VALUE"""),"S")</f>
        <v>S</v>
      </c>
      <c r="G770" s="189">
        <f ca="1">IFERROR(__xludf.DUMMYFUNCTION("""COMPUTED_VALUE"""),4)</f>
        <v>4</v>
      </c>
      <c r="H770" s="196" t="s">
        <v>331</v>
      </c>
      <c r="I770" s="196"/>
      <c r="J770" s="196" t="s">
        <v>29</v>
      </c>
      <c r="K770" s="196"/>
      <c r="L770" s="196" t="str">
        <v xml:space="preserve"> 167.65</v>
      </c>
      <c r="M770" s="196"/>
    </row>
    <row r="771" spans="1:13" ht="14.4" x14ac:dyDescent="0.3">
      <c r="A771" s="189" t="str">
        <f ca="1">IFERROR(__xludf.DUMMYFUNCTION("""COMPUTED_VALUE"""),"HF")</f>
        <v>HF</v>
      </c>
      <c r="B771" s="195" t="str">
        <f ca="1">IFERROR(__xludf.DUMMYFUNCTION("""COMPUTED_VALUE"""),"Sam Johnson")</f>
        <v>Sam Johnson</v>
      </c>
      <c r="C771" s="189">
        <f ca="1">IFERROR(__xludf.DUMMYFUNCTION("""COMPUTED_VALUE"""),16)</f>
        <v>16</v>
      </c>
      <c r="D771" s="189" t="str">
        <f ca="1">IFERROR(__xludf.DUMMYFUNCTION("""COMPUTED_VALUE"""),"B")</f>
        <v>B</v>
      </c>
      <c r="E771" s="189" t="str">
        <f ca="1">IFERROR(__xludf.DUMMYFUNCTION("""COMPUTED_VALUE"""),"S")</f>
        <v>S</v>
      </c>
      <c r="F771" s="189" t="str">
        <f ca="1">IFERROR(__xludf.DUMMYFUNCTION("""COMPUTED_VALUE"""),"S")</f>
        <v>S</v>
      </c>
      <c r="G771" s="189">
        <f ca="1">IFERROR(__xludf.DUMMYFUNCTION("""COMPUTED_VALUE"""),4)</f>
        <v>4</v>
      </c>
      <c r="H771" s="196" t="s">
        <v>332</v>
      </c>
      <c r="I771" s="196"/>
      <c r="J771" s="196" t="s">
        <v>29</v>
      </c>
      <c r="K771" s="196"/>
      <c r="L771" s="196" t="str">
        <v xml:space="preserve"> 147.50</v>
      </c>
      <c r="M771" s="196"/>
    </row>
    <row r="772" spans="1:13" ht="14.4" x14ac:dyDescent="0.3">
      <c r="A772" s="189" t="str">
        <f ca="1">IFERROR(__xludf.DUMMYFUNCTION("""COMPUTED_VALUE"""),"HF")</f>
        <v>HF</v>
      </c>
      <c r="B772" s="195" t="str">
        <f ca="1">IFERROR(__xludf.DUMMYFUNCTION("""COMPUTED_VALUE"""),"Will Townes")</f>
        <v>Will Townes</v>
      </c>
      <c r="C772" s="189">
        <f ca="1">IFERROR(__xludf.DUMMYFUNCTION("""COMPUTED_VALUE"""),17)</f>
        <v>17</v>
      </c>
      <c r="D772" s="189" t="str">
        <f ca="1">IFERROR(__xludf.DUMMYFUNCTION("""COMPUTED_VALUE"""),"B")</f>
        <v>B</v>
      </c>
      <c r="E772" s="189" t="str">
        <f ca="1">IFERROR(__xludf.DUMMYFUNCTION("""COMPUTED_VALUE"""),"S")</f>
        <v>S</v>
      </c>
      <c r="F772" s="189" t="str">
        <f ca="1">IFERROR(__xludf.DUMMYFUNCTION("""COMPUTED_VALUE"""),"S")</f>
        <v>S</v>
      </c>
      <c r="G772" s="189">
        <f ca="1">IFERROR(__xludf.DUMMYFUNCTION("""COMPUTED_VALUE"""),4)</f>
        <v>4</v>
      </c>
      <c r="H772" s="196" t="s">
        <v>333</v>
      </c>
      <c r="I772" s="196"/>
      <c r="J772" s="196" t="s">
        <v>29</v>
      </c>
      <c r="K772" s="196"/>
      <c r="L772" s="196" t="str">
        <v xml:space="preserve"> 195.35</v>
      </c>
      <c r="M772" s="196"/>
    </row>
    <row r="773" spans="1:13" ht="14.4" x14ac:dyDescent="0.3">
      <c r="A773" s="189" t="str">
        <f ca="1">IFERROR(__xludf.DUMMYFUNCTION("""COMPUTED_VALUE"""),"HP")</f>
        <v>HP</v>
      </c>
      <c r="B773" s="195" t="str">
        <f ca="1">IFERROR(__xludf.DUMMYFUNCTION("""COMPUTED_VALUE"""),"Bridget Snyder")</f>
        <v>Bridget Snyder</v>
      </c>
      <c r="C773" s="189">
        <f ca="1">IFERROR(__xludf.DUMMYFUNCTION("""COMPUTED_VALUE"""),9)</f>
        <v>9</v>
      </c>
      <c r="D773" s="189" t="str">
        <f ca="1">IFERROR(__xludf.DUMMYFUNCTION("""COMPUTED_VALUE"""),"G")</f>
        <v>G</v>
      </c>
      <c r="E773" s="189" t="str">
        <f ca="1">IFERROR(__xludf.DUMMYFUNCTION("""COMPUTED_VALUE"""),"F")</f>
        <v>F</v>
      </c>
      <c r="F773" s="189" t="str">
        <f ca="1">IFERROR(__xludf.DUMMYFUNCTION("""COMPUTED_VALUE"""),"J")</f>
        <v>J</v>
      </c>
      <c r="G773" s="189">
        <f ca="1">IFERROR(__xludf.DUMMYFUNCTION("""COMPUTED_VALUE"""),4)</f>
        <v>4</v>
      </c>
      <c r="H773" s="196" t="s">
        <v>334</v>
      </c>
      <c r="I773" s="196"/>
      <c r="J773" s="196" t="s">
        <v>29</v>
      </c>
      <c r="K773" s="196"/>
      <c r="L773" s="196" t="str">
        <v xml:space="preserve"> 43.35</v>
      </c>
      <c r="M773" s="196"/>
    </row>
    <row r="774" spans="1:13" ht="14.4" x14ac:dyDescent="0.3">
      <c r="A774" s="189" t="str">
        <f ca="1">IFERROR(__xludf.DUMMYFUNCTION("""COMPUTED_VALUE"""),"HP")</f>
        <v>HP</v>
      </c>
      <c r="B774" s="195" t="str">
        <f ca="1">IFERROR(__xludf.DUMMYFUNCTION("""COMPUTED_VALUE"""),"Eleanor Dannen")</f>
        <v>Eleanor Dannen</v>
      </c>
      <c r="C774" s="189">
        <f ca="1">IFERROR(__xludf.DUMMYFUNCTION("""COMPUTED_VALUE"""),10)</f>
        <v>10</v>
      </c>
      <c r="D774" s="189" t="str">
        <f ca="1">IFERROR(__xludf.DUMMYFUNCTION("""COMPUTED_VALUE"""),"G")</f>
        <v>G</v>
      </c>
      <c r="E774" s="189" t="str">
        <f ca="1">IFERROR(__xludf.DUMMYFUNCTION("""COMPUTED_VALUE"""),"F")</f>
        <v>F</v>
      </c>
      <c r="F774" s="189" t="str">
        <f ca="1">IFERROR(__xludf.DUMMYFUNCTION("""COMPUTED_VALUE"""),"J")</f>
        <v>J</v>
      </c>
      <c r="G774" s="189">
        <f ca="1">IFERROR(__xludf.DUMMYFUNCTION("""COMPUTED_VALUE"""),4)</f>
        <v>4</v>
      </c>
      <c r="H774" s="196" t="s">
        <v>335</v>
      </c>
      <c r="I774" s="196"/>
      <c r="J774" s="196" t="s">
        <v>29</v>
      </c>
      <c r="K774" s="196"/>
      <c r="L774" s="196" t="str">
        <v xml:space="preserve"> 53.15</v>
      </c>
      <c r="M774" s="196"/>
    </row>
    <row r="775" spans="1:13" ht="14.4" x14ac:dyDescent="0.3">
      <c r="A775" s="189" t="str">
        <f ca="1">IFERROR(__xludf.DUMMYFUNCTION("""COMPUTED_VALUE"""),"HP")</f>
        <v>HP</v>
      </c>
      <c r="B775" s="195" t="str">
        <f ca="1">IFERROR(__xludf.DUMMYFUNCTION("""COMPUTED_VALUE"""),"Ellie Tenor")</f>
        <v>Ellie Tenor</v>
      </c>
      <c r="C775" s="189">
        <f ca="1">IFERROR(__xludf.DUMMYFUNCTION("""COMPUTED_VALUE"""),10)</f>
        <v>10</v>
      </c>
      <c r="D775" s="189" t="str">
        <f ca="1">IFERROR(__xludf.DUMMYFUNCTION("""COMPUTED_VALUE"""),"G")</f>
        <v>G</v>
      </c>
      <c r="E775" s="189" t="str">
        <f ca="1">IFERROR(__xludf.DUMMYFUNCTION("""COMPUTED_VALUE"""),"F")</f>
        <v>F</v>
      </c>
      <c r="F775" s="189" t="str">
        <f ca="1">IFERROR(__xludf.DUMMYFUNCTION("""COMPUTED_VALUE"""),"J")</f>
        <v>J</v>
      </c>
      <c r="G775" s="189">
        <f ca="1">IFERROR(__xludf.DUMMYFUNCTION("""COMPUTED_VALUE"""),4)</f>
        <v>4</v>
      </c>
      <c r="H775" s="196"/>
      <c r="I775" s="196"/>
      <c r="J775" s="196"/>
      <c r="K775" s="196"/>
      <c r="L775" s="196" t="str">
        <v/>
      </c>
      <c r="M775" s="196"/>
    </row>
    <row r="776" spans="1:13" ht="14.4" x14ac:dyDescent="0.3">
      <c r="A776" s="189" t="str">
        <f ca="1">IFERROR(__xludf.DUMMYFUNCTION("""COMPUTED_VALUE"""),"HP")</f>
        <v>HP</v>
      </c>
      <c r="B776" s="195" t="str">
        <f ca="1">IFERROR(__xludf.DUMMYFUNCTION("""COMPUTED_VALUE"""),"Emme Guy")</f>
        <v>Emme Guy</v>
      </c>
      <c r="C776" s="189">
        <f ca="1">IFERROR(__xludf.DUMMYFUNCTION("""COMPUTED_VALUE"""),10)</f>
        <v>10</v>
      </c>
      <c r="D776" s="189" t="str">
        <f ca="1">IFERROR(__xludf.DUMMYFUNCTION("""COMPUTED_VALUE"""),"G")</f>
        <v>G</v>
      </c>
      <c r="E776" s="189" t="str">
        <f ca="1">IFERROR(__xludf.DUMMYFUNCTION("""COMPUTED_VALUE"""),"F")</f>
        <v>F</v>
      </c>
      <c r="F776" s="189" t="str">
        <f ca="1">IFERROR(__xludf.DUMMYFUNCTION("""COMPUTED_VALUE"""),"J")</f>
        <v>J</v>
      </c>
      <c r="G776" s="189">
        <f ca="1">IFERROR(__xludf.DUMMYFUNCTION("""COMPUTED_VALUE"""),4)</f>
        <v>4</v>
      </c>
      <c r="H776" s="196" t="s">
        <v>267</v>
      </c>
      <c r="I776" s="196"/>
      <c r="J776" s="196" t="s">
        <v>29</v>
      </c>
      <c r="K776" s="196"/>
      <c r="L776" s="196" t="str">
        <v xml:space="preserve"> 58.80</v>
      </c>
      <c r="M776" s="196"/>
    </row>
    <row r="777" spans="1:13" ht="14.4" x14ac:dyDescent="0.3">
      <c r="A777" s="189" t="str">
        <f ca="1">IFERROR(__xludf.DUMMYFUNCTION("""COMPUTED_VALUE"""),"HP")</f>
        <v>HP</v>
      </c>
      <c r="B777" s="195" t="str">
        <f ca="1">IFERROR(__xludf.DUMMYFUNCTION("""COMPUTED_VALUE"""),"Gloria Johnson")</f>
        <v>Gloria Johnson</v>
      </c>
      <c r="C777" s="189">
        <f ca="1">IFERROR(__xludf.DUMMYFUNCTION("""COMPUTED_VALUE"""),10)</f>
        <v>10</v>
      </c>
      <c r="D777" s="189" t="str">
        <f ca="1">IFERROR(__xludf.DUMMYFUNCTION("""COMPUTED_VALUE"""),"G")</f>
        <v>G</v>
      </c>
      <c r="E777" s="189" t="str">
        <f ca="1">IFERROR(__xludf.DUMMYFUNCTION("""COMPUTED_VALUE"""),"F")</f>
        <v>F</v>
      </c>
      <c r="F777" s="189" t="str">
        <f ca="1">IFERROR(__xludf.DUMMYFUNCTION("""COMPUTED_VALUE"""),"J")</f>
        <v>J</v>
      </c>
      <c r="G777" s="189">
        <f ca="1">IFERROR(__xludf.DUMMYFUNCTION("""COMPUTED_VALUE"""),4)</f>
        <v>4</v>
      </c>
      <c r="H777" s="196" t="s">
        <v>336</v>
      </c>
      <c r="I777" s="196"/>
      <c r="J777" s="196" t="s">
        <v>29</v>
      </c>
      <c r="K777" s="196"/>
      <c r="L777" s="196" t="str">
        <v xml:space="preserve"> 39.55</v>
      </c>
      <c r="M777" s="196"/>
    </row>
    <row r="778" spans="1:13" ht="14.4" x14ac:dyDescent="0.3">
      <c r="A778" s="189" t="str">
        <f ca="1">IFERROR(__xludf.DUMMYFUNCTION("""COMPUTED_VALUE"""),"HP")</f>
        <v>HP</v>
      </c>
      <c r="B778" s="195" t="str">
        <f ca="1">IFERROR(__xludf.DUMMYFUNCTION("""COMPUTED_VALUE"""),"Grace Hawk")</f>
        <v>Grace Hawk</v>
      </c>
      <c r="C778" s="189">
        <f ca="1">IFERROR(__xludf.DUMMYFUNCTION("""COMPUTED_VALUE"""),8)</f>
        <v>8</v>
      </c>
      <c r="D778" s="189" t="str">
        <f ca="1">IFERROR(__xludf.DUMMYFUNCTION("""COMPUTED_VALUE"""),"G")</f>
        <v>G</v>
      </c>
      <c r="E778" s="189" t="str">
        <f ca="1">IFERROR(__xludf.DUMMYFUNCTION("""COMPUTED_VALUE"""),"F")</f>
        <v>F</v>
      </c>
      <c r="F778" s="189" t="str">
        <f ca="1">IFERROR(__xludf.DUMMYFUNCTION("""COMPUTED_VALUE"""),"J")</f>
        <v>J</v>
      </c>
      <c r="G778" s="189">
        <f ca="1">IFERROR(__xludf.DUMMYFUNCTION("""COMPUTED_VALUE"""),4)</f>
        <v>4</v>
      </c>
      <c r="H778" s="196" t="s">
        <v>337</v>
      </c>
      <c r="I778" s="196"/>
      <c r="J778" s="196" t="s">
        <v>29</v>
      </c>
      <c r="K778" s="196"/>
      <c r="L778" s="196" t="str">
        <v xml:space="preserve"> 16.45</v>
      </c>
      <c r="M778" s="196"/>
    </row>
    <row r="779" spans="1:13" ht="14.4" x14ac:dyDescent="0.3">
      <c r="A779" s="189" t="str">
        <f ca="1">IFERROR(__xludf.DUMMYFUNCTION("""COMPUTED_VALUE"""),"HP")</f>
        <v>HP</v>
      </c>
      <c r="B779" s="195" t="str">
        <f ca="1">IFERROR(__xludf.DUMMYFUNCTION("""COMPUTED_VALUE"""),"Grace Johnson")</f>
        <v>Grace Johnson</v>
      </c>
      <c r="C779" s="189">
        <f ca="1">IFERROR(__xludf.DUMMYFUNCTION("""COMPUTED_VALUE"""),7)</f>
        <v>7</v>
      </c>
      <c r="D779" s="189" t="str">
        <f ca="1">IFERROR(__xludf.DUMMYFUNCTION("""COMPUTED_VALUE"""),"G")</f>
        <v>G</v>
      </c>
      <c r="E779" s="189" t="str">
        <f ca="1">IFERROR(__xludf.DUMMYFUNCTION("""COMPUTED_VALUE"""),"F")</f>
        <v>F</v>
      </c>
      <c r="F779" s="189" t="str">
        <f ca="1">IFERROR(__xludf.DUMMYFUNCTION("""COMPUTED_VALUE"""),"J")</f>
        <v>J</v>
      </c>
      <c r="G779" s="189">
        <f ca="1">IFERROR(__xludf.DUMMYFUNCTION("""COMPUTED_VALUE"""),4)</f>
        <v>4</v>
      </c>
      <c r="H779" s="196"/>
      <c r="I779" s="196"/>
      <c r="J779" s="196"/>
      <c r="K779" s="196"/>
      <c r="L779" s="196" t="str">
        <v/>
      </c>
      <c r="M779" s="196"/>
    </row>
    <row r="780" spans="1:13" ht="14.4" x14ac:dyDescent="0.3">
      <c r="A780" s="189" t="str">
        <f ca="1">IFERROR(__xludf.DUMMYFUNCTION("""COMPUTED_VALUE"""),"HP")</f>
        <v>HP</v>
      </c>
      <c r="B780" s="195" t="str">
        <f ca="1">IFERROR(__xludf.DUMMYFUNCTION("""COMPUTED_VALUE"""),"Harleigh Spencer")</f>
        <v>Harleigh Spencer</v>
      </c>
      <c r="C780" s="189">
        <f ca="1">IFERROR(__xludf.DUMMYFUNCTION("""COMPUTED_VALUE"""),8)</f>
        <v>8</v>
      </c>
      <c r="D780" s="189" t="str">
        <f ca="1">IFERROR(__xludf.DUMMYFUNCTION("""COMPUTED_VALUE"""),"G")</f>
        <v>G</v>
      </c>
      <c r="E780" s="189" t="str">
        <f ca="1">IFERROR(__xludf.DUMMYFUNCTION("""COMPUTED_VALUE"""),"F")</f>
        <v>F</v>
      </c>
      <c r="F780" s="189" t="str">
        <f ca="1">IFERROR(__xludf.DUMMYFUNCTION("""COMPUTED_VALUE"""),"J")</f>
        <v>J</v>
      </c>
      <c r="G780" s="189">
        <f ca="1">IFERROR(__xludf.DUMMYFUNCTION("""COMPUTED_VALUE"""),4)</f>
        <v>4</v>
      </c>
      <c r="H780" s="196" t="s">
        <v>338</v>
      </c>
      <c r="I780" s="196"/>
      <c r="J780" s="196" t="s">
        <v>29</v>
      </c>
      <c r="K780" s="196"/>
      <c r="L780" s="196" t="str">
        <v xml:space="preserve"> 35.00</v>
      </c>
      <c r="M780" s="196"/>
    </row>
    <row r="781" spans="1:13" ht="14.4" x14ac:dyDescent="0.3">
      <c r="A781" s="189" t="str">
        <f ca="1">IFERROR(__xludf.DUMMYFUNCTION("""COMPUTED_VALUE"""),"HP")</f>
        <v>HP</v>
      </c>
      <c r="B781" s="195" t="str">
        <f ca="1">IFERROR(__xludf.DUMMYFUNCTION("""COMPUTED_VALUE"""),"Hazel Johnson")</f>
        <v>Hazel Johnson</v>
      </c>
      <c r="C781" s="189">
        <f ca="1">IFERROR(__xludf.DUMMYFUNCTION("""COMPUTED_VALUE"""),7)</f>
        <v>7</v>
      </c>
      <c r="D781" s="189" t="str">
        <f ca="1">IFERROR(__xludf.DUMMYFUNCTION("""COMPUTED_VALUE"""),"G")</f>
        <v>G</v>
      </c>
      <c r="E781" s="189" t="str">
        <f ca="1">IFERROR(__xludf.DUMMYFUNCTION("""COMPUTED_VALUE"""),"F")</f>
        <v>F</v>
      </c>
      <c r="F781" s="189" t="str">
        <f ca="1">IFERROR(__xludf.DUMMYFUNCTION("""COMPUTED_VALUE"""),"J")</f>
        <v>J</v>
      </c>
      <c r="G781" s="189">
        <f ca="1">IFERROR(__xludf.DUMMYFUNCTION("""COMPUTED_VALUE"""),4)</f>
        <v>4</v>
      </c>
      <c r="H781" s="196"/>
      <c r="I781" s="196"/>
      <c r="J781" s="196"/>
      <c r="K781" s="196"/>
      <c r="L781" s="196" t="str">
        <v/>
      </c>
      <c r="M781" s="196"/>
    </row>
    <row r="782" spans="1:13" ht="14.4" x14ac:dyDescent="0.3">
      <c r="A782" s="189" t="str">
        <f ca="1">IFERROR(__xludf.DUMMYFUNCTION("""COMPUTED_VALUE"""),"HP")</f>
        <v>HP</v>
      </c>
      <c r="B782" s="195" t="str">
        <f ca="1">IFERROR(__xludf.DUMMYFUNCTION("""COMPUTED_VALUE"""),"Kisma Sarsour")</f>
        <v>Kisma Sarsour</v>
      </c>
      <c r="C782" s="189">
        <f ca="1">IFERROR(__xludf.DUMMYFUNCTION("""COMPUTED_VALUE"""),9)</f>
        <v>9</v>
      </c>
      <c r="D782" s="189" t="str">
        <f ca="1">IFERROR(__xludf.DUMMYFUNCTION("""COMPUTED_VALUE"""),"G")</f>
        <v>G</v>
      </c>
      <c r="E782" s="189" t="str">
        <f ca="1">IFERROR(__xludf.DUMMYFUNCTION("""COMPUTED_VALUE"""),"F")</f>
        <v>F</v>
      </c>
      <c r="F782" s="189" t="str">
        <f ca="1">IFERROR(__xludf.DUMMYFUNCTION("""COMPUTED_VALUE"""),"J")</f>
        <v>J</v>
      </c>
      <c r="G782" s="189">
        <f ca="1">IFERROR(__xludf.DUMMYFUNCTION("""COMPUTED_VALUE"""),4)</f>
        <v>4</v>
      </c>
      <c r="H782" s="196" t="s">
        <v>339</v>
      </c>
      <c r="I782" s="196"/>
      <c r="J782" s="196" t="s">
        <v>29</v>
      </c>
      <c r="K782" s="196"/>
      <c r="L782" s="196" t="str">
        <v xml:space="preserve"> 24.05</v>
      </c>
      <c r="M782" s="196"/>
    </row>
    <row r="783" spans="1:13" ht="14.4" x14ac:dyDescent="0.3">
      <c r="A783" s="189" t="str">
        <f ca="1">IFERROR(__xludf.DUMMYFUNCTION("""COMPUTED_VALUE"""),"HP")</f>
        <v>HP</v>
      </c>
      <c r="B783" s="195" t="str">
        <f ca="1">IFERROR(__xludf.DUMMYFUNCTION("""COMPUTED_VALUE"""),"Meredith Turkstra")</f>
        <v>Meredith Turkstra</v>
      </c>
      <c r="C783" s="189">
        <f ca="1">IFERROR(__xludf.DUMMYFUNCTION("""COMPUTED_VALUE"""),7)</f>
        <v>7</v>
      </c>
      <c r="D783" s="189" t="str">
        <f ca="1">IFERROR(__xludf.DUMMYFUNCTION("""COMPUTED_VALUE"""),"G")</f>
        <v>G</v>
      </c>
      <c r="E783" s="189" t="str">
        <f ca="1">IFERROR(__xludf.DUMMYFUNCTION("""COMPUTED_VALUE"""),"F")</f>
        <v>F</v>
      </c>
      <c r="F783" s="189" t="str">
        <f ca="1">IFERROR(__xludf.DUMMYFUNCTION("""COMPUTED_VALUE"""),"J")</f>
        <v>J</v>
      </c>
      <c r="G783" s="189">
        <f ca="1">IFERROR(__xludf.DUMMYFUNCTION("""COMPUTED_VALUE"""),4)</f>
        <v>4</v>
      </c>
      <c r="H783" s="196"/>
      <c r="I783" s="196"/>
      <c r="J783" s="196"/>
      <c r="K783" s="196"/>
      <c r="L783" s="196" t="str">
        <v/>
      </c>
      <c r="M783" s="196"/>
    </row>
    <row r="784" spans="1:13" ht="14.4" x14ac:dyDescent="0.3">
      <c r="A784" s="189" t="str">
        <f ca="1">IFERROR(__xludf.DUMMYFUNCTION("""COMPUTED_VALUE"""),"HP")</f>
        <v>HP</v>
      </c>
      <c r="B784" s="195" t="str">
        <f ca="1">IFERROR(__xludf.DUMMYFUNCTION("""COMPUTED_VALUE"""),"Nora Jandrain")</f>
        <v>Nora Jandrain</v>
      </c>
      <c r="C784" s="189">
        <f ca="1">IFERROR(__xludf.DUMMYFUNCTION("""COMPUTED_VALUE"""),9)</f>
        <v>9</v>
      </c>
      <c r="D784" s="189" t="str">
        <f ca="1">IFERROR(__xludf.DUMMYFUNCTION("""COMPUTED_VALUE"""),"G")</f>
        <v>G</v>
      </c>
      <c r="E784" s="189" t="str">
        <f ca="1">IFERROR(__xludf.DUMMYFUNCTION("""COMPUTED_VALUE"""),"F")</f>
        <v>F</v>
      </c>
      <c r="F784" s="189" t="str">
        <f ca="1">IFERROR(__xludf.DUMMYFUNCTION("""COMPUTED_VALUE"""),"J")</f>
        <v>J</v>
      </c>
      <c r="G784" s="189">
        <f ca="1">IFERROR(__xludf.DUMMYFUNCTION("""COMPUTED_VALUE"""),4)</f>
        <v>4</v>
      </c>
      <c r="H784" s="196" t="s">
        <v>340</v>
      </c>
      <c r="I784" s="196"/>
      <c r="J784" s="196" t="s">
        <v>29</v>
      </c>
      <c r="K784" s="196"/>
      <c r="L784" s="196" t="str">
        <v xml:space="preserve"> 42.85</v>
      </c>
      <c r="M784" s="196"/>
    </row>
    <row r="785" spans="1:13" ht="14.4" x14ac:dyDescent="0.3">
      <c r="A785" s="189" t="str">
        <f ca="1">IFERROR(__xludf.DUMMYFUNCTION("""COMPUTED_VALUE"""),"HP")</f>
        <v>HP</v>
      </c>
      <c r="B785" s="195" t="str">
        <f ca="1">IFERROR(__xludf.DUMMYFUNCTION("""COMPUTED_VALUE"""),"Olive Slother")</f>
        <v>Olive Slother</v>
      </c>
      <c r="C785" s="189">
        <f ca="1">IFERROR(__xludf.DUMMYFUNCTION("""COMPUTED_VALUE"""),7)</f>
        <v>7</v>
      </c>
      <c r="D785" s="189" t="str">
        <f ca="1">IFERROR(__xludf.DUMMYFUNCTION("""COMPUTED_VALUE"""),"G")</f>
        <v>G</v>
      </c>
      <c r="E785" s="189" t="str">
        <f ca="1">IFERROR(__xludf.DUMMYFUNCTION("""COMPUTED_VALUE"""),"F")</f>
        <v>F</v>
      </c>
      <c r="F785" s="189" t="str">
        <f ca="1">IFERROR(__xludf.DUMMYFUNCTION("""COMPUTED_VALUE"""),"J")</f>
        <v>J</v>
      </c>
      <c r="G785" s="189">
        <f ca="1">IFERROR(__xludf.DUMMYFUNCTION("""COMPUTED_VALUE"""),4)</f>
        <v>4</v>
      </c>
      <c r="H785" s="196"/>
      <c r="I785" s="196"/>
      <c r="J785" s="196"/>
      <c r="K785" s="196"/>
      <c r="L785" s="196" t="str">
        <v/>
      </c>
      <c r="M785" s="196"/>
    </row>
    <row r="786" spans="1:13" ht="14.4" x14ac:dyDescent="0.3">
      <c r="A786" s="189" t="str">
        <f ca="1">IFERROR(__xludf.DUMMYFUNCTION("""COMPUTED_VALUE"""),"HP")</f>
        <v>HP</v>
      </c>
      <c r="B786" s="195" t="str">
        <f ca="1">IFERROR(__xludf.DUMMYFUNCTION("""COMPUTED_VALUE"""),"Olivia Jozefczyk")</f>
        <v>Olivia Jozefczyk</v>
      </c>
      <c r="C786" s="189">
        <f ca="1">IFERROR(__xludf.DUMMYFUNCTION("""COMPUTED_VALUE"""),9)</f>
        <v>9</v>
      </c>
      <c r="D786" s="189" t="str">
        <f ca="1">IFERROR(__xludf.DUMMYFUNCTION("""COMPUTED_VALUE"""),"G")</f>
        <v>G</v>
      </c>
      <c r="E786" s="189" t="str">
        <f ca="1">IFERROR(__xludf.DUMMYFUNCTION("""COMPUTED_VALUE"""),"F")</f>
        <v>F</v>
      </c>
      <c r="F786" s="189" t="str">
        <f ca="1">IFERROR(__xludf.DUMMYFUNCTION("""COMPUTED_VALUE"""),"J")</f>
        <v>J</v>
      </c>
      <c r="G786" s="189">
        <f ca="1">IFERROR(__xludf.DUMMYFUNCTION("""COMPUTED_VALUE"""),4)</f>
        <v>4</v>
      </c>
      <c r="H786" s="196" t="s">
        <v>341</v>
      </c>
      <c r="I786" s="196"/>
      <c r="J786" s="196" t="s">
        <v>29</v>
      </c>
      <c r="K786" s="196"/>
      <c r="L786" s="196" t="str">
        <v xml:space="preserve"> 35.45</v>
      </c>
      <c r="M786" s="196"/>
    </row>
    <row r="787" spans="1:13" ht="14.4" x14ac:dyDescent="0.3">
      <c r="A787" s="189" t="str">
        <f ca="1">IFERROR(__xludf.DUMMYFUNCTION("""COMPUTED_VALUE"""),"HP")</f>
        <v>HP</v>
      </c>
      <c r="B787" s="195" t="str">
        <f ca="1">IFERROR(__xludf.DUMMYFUNCTION("""COMPUTED_VALUE"""),"Payton McCarrison")</f>
        <v>Payton McCarrison</v>
      </c>
      <c r="C787" s="189">
        <f ca="1">IFERROR(__xludf.DUMMYFUNCTION("""COMPUTED_VALUE"""),7)</f>
        <v>7</v>
      </c>
      <c r="D787" s="189" t="str">
        <f ca="1">IFERROR(__xludf.DUMMYFUNCTION("""COMPUTED_VALUE"""),"G")</f>
        <v>G</v>
      </c>
      <c r="E787" s="189" t="str">
        <f ca="1">IFERROR(__xludf.DUMMYFUNCTION("""COMPUTED_VALUE"""),"F")</f>
        <v>F</v>
      </c>
      <c r="F787" s="189" t="str">
        <f ca="1">IFERROR(__xludf.DUMMYFUNCTION("""COMPUTED_VALUE"""),"J")</f>
        <v>J</v>
      </c>
      <c r="G787" s="189">
        <f ca="1">IFERROR(__xludf.DUMMYFUNCTION("""COMPUTED_VALUE"""),4)</f>
        <v>4</v>
      </c>
      <c r="H787" s="196" t="s">
        <v>342</v>
      </c>
      <c r="I787" s="196"/>
      <c r="J787" s="196" t="s">
        <v>29</v>
      </c>
      <c r="K787" s="196"/>
      <c r="L787" s="196" t="str">
        <v xml:space="preserve"> 23.10</v>
      </c>
      <c r="M787" s="196"/>
    </row>
    <row r="788" spans="1:13" ht="14.4" x14ac:dyDescent="0.3">
      <c r="A788" s="189" t="str">
        <f ca="1">IFERROR(__xludf.DUMMYFUNCTION("""COMPUTED_VALUE"""),"HP")</f>
        <v>HP</v>
      </c>
      <c r="B788" s="195" t="str">
        <f ca="1">IFERROR(__xludf.DUMMYFUNCTION("""COMPUTED_VALUE"""),"Sasha Wimpey")</f>
        <v>Sasha Wimpey</v>
      </c>
      <c r="C788" s="189">
        <f ca="1">IFERROR(__xludf.DUMMYFUNCTION("""COMPUTED_VALUE"""),7)</f>
        <v>7</v>
      </c>
      <c r="D788" s="189" t="str">
        <f ca="1">IFERROR(__xludf.DUMMYFUNCTION("""COMPUTED_VALUE"""),"G")</f>
        <v>G</v>
      </c>
      <c r="E788" s="189" t="str">
        <f ca="1">IFERROR(__xludf.DUMMYFUNCTION("""COMPUTED_VALUE"""),"F")</f>
        <v>F</v>
      </c>
      <c r="F788" s="189" t="str">
        <f ca="1">IFERROR(__xludf.DUMMYFUNCTION("""COMPUTED_VALUE"""),"J")</f>
        <v>J</v>
      </c>
      <c r="G788" s="189">
        <f ca="1">IFERROR(__xludf.DUMMYFUNCTION("""COMPUTED_VALUE"""),4)</f>
        <v>4</v>
      </c>
      <c r="H788" s="196" t="s">
        <v>343</v>
      </c>
      <c r="I788" s="196"/>
      <c r="J788" s="196" t="s">
        <v>29</v>
      </c>
      <c r="K788" s="196"/>
      <c r="L788" s="196" t="str">
        <v xml:space="preserve"> 27.90</v>
      </c>
      <c r="M788" s="196"/>
    </row>
    <row r="789" spans="1:13" ht="14.4" x14ac:dyDescent="0.3">
      <c r="A789" s="189" t="str">
        <f ca="1">IFERROR(__xludf.DUMMYFUNCTION("""COMPUTED_VALUE"""),"HP")</f>
        <v>HP</v>
      </c>
      <c r="B789" s="195" t="str">
        <f ca="1">IFERROR(__xludf.DUMMYFUNCTION("""COMPUTED_VALUE"""),"Scarlet Johnson")</f>
        <v>Scarlet Johnson</v>
      </c>
      <c r="C789" s="189">
        <f ca="1">IFERROR(__xludf.DUMMYFUNCTION("""COMPUTED_VALUE"""),8)</f>
        <v>8</v>
      </c>
      <c r="D789" s="189" t="str">
        <f ca="1">IFERROR(__xludf.DUMMYFUNCTION("""COMPUTED_VALUE"""),"G")</f>
        <v>G</v>
      </c>
      <c r="E789" s="189" t="str">
        <f ca="1">IFERROR(__xludf.DUMMYFUNCTION("""COMPUTED_VALUE"""),"F")</f>
        <v>F</v>
      </c>
      <c r="F789" s="189" t="str">
        <f ca="1">IFERROR(__xludf.DUMMYFUNCTION("""COMPUTED_VALUE"""),"J")</f>
        <v>J</v>
      </c>
      <c r="G789" s="189">
        <f ca="1">IFERROR(__xludf.DUMMYFUNCTION("""COMPUTED_VALUE"""),4)</f>
        <v>4</v>
      </c>
      <c r="H789" s="196" t="s">
        <v>344</v>
      </c>
      <c r="I789" s="196"/>
      <c r="J789" s="196" t="s">
        <v>29</v>
      </c>
      <c r="K789" s="196"/>
      <c r="L789" s="196" t="str">
        <v xml:space="preserve"> 15.75</v>
      </c>
      <c r="M789" s="196"/>
    </row>
    <row r="790" spans="1:13" ht="14.4" x14ac:dyDescent="0.3">
      <c r="A790" s="189" t="str">
        <f ca="1">IFERROR(__xludf.DUMMYFUNCTION("""COMPUTED_VALUE"""),"HP")</f>
        <v>HP</v>
      </c>
      <c r="B790" s="195" t="str">
        <f ca="1">IFERROR(__xludf.DUMMYFUNCTION("""COMPUTED_VALUE"""),"Violet Pearce")</f>
        <v>Violet Pearce</v>
      </c>
      <c r="C790" s="189">
        <f ca="1">IFERROR(__xludf.DUMMYFUNCTION("""COMPUTED_VALUE"""),7)</f>
        <v>7</v>
      </c>
      <c r="D790" s="189" t="str">
        <f ca="1">IFERROR(__xludf.DUMMYFUNCTION("""COMPUTED_VALUE"""),"G")</f>
        <v>G</v>
      </c>
      <c r="E790" s="189" t="str">
        <f ca="1">IFERROR(__xludf.DUMMYFUNCTION("""COMPUTED_VALUE"""),"F")</f>
        <v>F</v>
      </c>
      <c r="F790" s="189" t="str">
        <f ca="1">IFERROR(__xludf.DUMMYFUNCTION("""COMPUTED_VALUE"""),"J")</f>
        <v>J</v>
      </c>
      <c r="G790" s="189">
        <f ca="1">IFERROR(__xludf.DUMMYFUNCTION("""COMPUTED_VALUE"""),4)</f>
        <v>4</v>
      </c>
      <c r="H790" s="196"/>
      <c r="I790" s="196"/>
      <c r="J790" s="196"/>
      <c r="K790" s="196"/>
      <c r="L790" s="196" t="str">
        <v/>
      </c>
      <c r="M790" s="196"/>
    </row>
    <row r="791" spans="1:13" ht="14.4" x14ac:dyDescent="0.3">
      <c r="A791" s="189" t="str">
        <f ca="1">IFERROR(__xludf.DUMMYFUNCTION("""COMPUTED_VALUE"""),"HP")</f>
        <v>HP</v>
      </c>
      <c r="B791" s="195" t="str">
        <f ca="1">IFERROR(__xludf.DUMMYFUNCTION("""COMPUTED_VALUE"""),"Alexander Moch")</f>
        <v>Alexander Moch</v>
      </c>
      <c r="C791" s="189">
        <f ca="1">IFERROR(__xludf.DUMMYFUNCTION("""COMPUTED_VALUE"""),8)</f>
        <v>8</v>
      </c>
      <c r="D791" s="189" t="str">
        <f ca="1">IFERROR(__xludf.DUMMYFUNCTION("""COMPUTED_VALUE"""),"B")</f>
        <v>B</v>
      </c>
      <c r="E791" s="189" t="str">
        <f ca="1">IFERROR(__xludf.DUMMYFUNCTION("""COMPUTED_VALUE"""),"F")</f>
        <v>F</v>
      </c>
      <c r="F791" s="189" t="str">
        <f ca="1">IFERROR(__xludf.DUMMYFUNCTION("""COMPUTED_VALUE"""),"J")</f>
        <v>J</v>
      </c>
      <c r="G791" s="189">
        <f ca="1">IFERROR(__xludf.DUMMYFUNCTION("""COMPUTED_VALUE"""),4)</f>
        <v>4</v>
      </c>
      <c r="H791" s="196"/>
      <c r="I791" s="196"/>
      <c r="J791" s="196"/>
      <c r="K791" s="196"/>
      <c r="L791" s="196" t="str">
        <v/>
      </c>
      <c r="M791" s="196"/>
    </row>
    <row r="792" spans="1:13" ht="14.4" x14ac:dyDescent="0.3">
      <c r="A792" s="189" t="str">
        <f ca="1">IFERROR(__xludf.DUMMYFUNCTION("""COMPUTED_VALUE"""),"HP")</f>
        <v>HP</v>
      </c>
      <c r="B792" s="195" t="str">
        <f ca="1">IFERROR(__xludf.DUMMYFUNCTION("""COMPUTED_VALUE"""),"Arthur Jozefczyk")</f>
        <v>Arthur Jozefczyk</v>
      </c>
      <c r="C792" s="189">
        <f ca="1">IFERROR(__xludf.DUMMYFUNCTION("""COMPUTED_VALUE"""),6)</f>
        <v>6</v>
      </c>
      <c r="D792" s="189" t="str">
        <f ca="1">IFERROR(__xludf.DUMMYFUNCTION("""COMPUTED_VALUE"""),"B")</f>
        <v>B</v>
      </c>
      <c r="E792" s="189" t="str">
        <f ca="1">IFERROR(__xludf.DUMMYFUNCTION("""COMPUTED_VALUE"""),"F")</f>
        <v>F</v>
      </c>
      <c r="F792" s="189" t="str">
        <f ca="1">IFERROR(__xludf.DUMMYFUNCTION("""COMPUTED_VALUE"""),"J")</f>
        <v>J</v>
      </c>
      <c r="G792" s="189">
        <f ca="1">IFERROR(__xludf.DUMMYFUNCTION("""COMPUTED_VALUE"""),4)</f>
        <v>4</v>
      </c>
      <c r="H792" s="196" t="s">
        <v>345</v>
      </c>
      <c r="I792" s="196"/>
      <c r="J792" s="196" t="s">
        <v>29</v>
      </c>
      <c r="K792" s="196"/>
      <c r="L792" s="196" t="str">
        <v xml:space="preserve"> 5.00</v>
      </c>
      <c r="M792" s="196"/>
    </row>
    <row r="793" spans="1:13" ht="14.4" x14ac:dyDescent="0.3">
      <c r="A793" s="189" t="str">
        <f ca="1">IFERROR(__xludf.DUMMYFUNCTION("""COMPUTED_VALUE"""),"HP")</f>
        <v>HP</v>
      </c>
      <c r="B793" s="195" t="str">
        <f ca="1">IFERROR(__xludf.DUMMYFUNCTION("""COMPUTED_VALUE"""),"Declan Fitzsimmons")</f>
        <v>Declan Fitzsimmons</v>
      </c>
      <c r="C793" s="189">
        <f ca="1">IFERROR(__xludf.DUMMYFUNCTION("""COMPUTED_VALUE"""),10)</f>
        <v>10</v>
      </c>
      <c r="D793" s="189" t="str">
        <f ca="1">IFERROR(__xludf.DUMMYFUNCTION("""COMPUTED_VALUE"""),"B")</f>
        <v>B</v>
      </c>
      <c r="E793" s="189" t="str">
        <f ca="1">IFERROR(__xludf.DUMMYFUNCTION("""COMPUTED_VALUE"""),"F")</f>
        <v>F</v>
      </c>
      <c r="F793" s="189" t="str">
        <f ca="1">IFERROR(__xludf.DUMMYFUNCTION("""COMPUTED_VALUE"""),"J")</f>
        <v>J</v>
      </c>
      <c r="G793" s="189">
        <f ca="1">IFERROR(__xludf.DUMMYFUNCTION("""COMPUTED_VALUE"""),4)</f>
        <v>4</v>
      </c>
      <c r="H793" s="196"/>
      <c r="I793" s="196"/>
      <c r="J793" s="196"/>
      <c r="K793" s="196"/>
      <c r="L793" s="196" t="str">
        <v/>
      </c>
      <c r="M793" s="196"/>
    </row>
    <row r="794" spans="1:13" ht="14.4" x14ac:dyDescent="0.3">
      <c r="A794" s="189" t="str">
        <f ca="1">IFERROR(__xludf.DUMMYFUNCTION("""COMPUTED_VALUE"""),"HP")</f>
        <v>HP</v>
      </c>
      <c r="B794" s="195" t="str">
        <f ca="1">IFERROR(__xludf.DUMMYFUNCTION("""COMPUTED_VALUE"""),"Isacc Peterson")</f>
        <v>Isacc Peterson</v>
      </c>
      <c r="C794" s="189">
        <f ca="1">IFERROR(__xludf.DUMMYFUNCTION("""COMPUTED_VALUE"""),8)</f>
        <v>8</v>
      </c>
      <c r="D794" s="189" t="str">
        <f ca="1">IFERROR(__xludf.DUMMYFUNCTION("""COMPUTED_VALUE"""),"B")</f>
        <v>B</v>
      </c>
      <c r="E794" s="189" t="str">
        <f ca="1">IFERROR(__xludf.DUMMYFUNCTION("""COMPUTED_VALUE"""),"F")</f>
        <v>F</v>
      </c>
      <c r="F794" s="189" t="str">
        <f ca="1">IFERROR(__xludf.DUMMYFUNCTION("""COMPUTED_VALUE"""),"J")</f>
        <v>J</v>
      </c>
      <c r="G794" s="189">
        <f ca="1">IFERROR(__xludf.DUMMYFUNCTION("""COMPUTED_VALUE"""),4)</f>
        <v>4</v>
      </c>
      <c r="H794" s="196"/>
      <c r="I794" s="196"/>
      <c r="J794" s="196"/>
      <c r="K794" s="196"/>
      <c r="L794" s="196" t="str">
        <v/>
      </c>
      <c r="M794" s="196"/>
    </row>
    <row r="795" spans="1:13" ht="14.4" x14ac:dyDescent="0.3">
      <c r="A795" s="189" t="str">
        <f ca="1">IFERROR(__xludf.DUMMYFUNCTION("""COMPUTED_VALUE"""),"HP")</f>
        <v>HP</v>
      </c>
      <c r="B795" s="195" t="str">
        <f ca="1">IFERROR(__xludf.DUMMYFUNCTION("""COMPUTED_VALUE"""),"Josh Hirsch")</f>
        <v>Josh Hirsch</v>
      </c>
      <c r="C795" s="189">
        <f ca="1">IFERROR(__xludf.DUMMYFUNCTION("""COMPUTED_VALUE"""),7)</f>
        <v>7</v>
      </c>
      <c r="D795" s="189" t="str">
        <f ca="1">IFERROR(__xludf.DUMMYFUNCTION("""COMPUTED_VALUE"""),"B")</f>
        <v>B</v>
      </c>
      <c r="E795" s="189" t="str">
        <f ca="1">IFERROR(__xludf.DUMMYFUNCTION("""COMPUTED_VALUE"""),"F")</f>
        <v>F</v>
      </c>
      <c r="F795" s="189" t="str">
        <f ca="1">IFERROR(__xludf.DUMMYFUNCTION("""COMPUTED_VALUE"""),"J")</f>
        <v>J</v>
      </c>
      <c r="G795" s="189">
        <f ca="1">IFERROR(__xludf.DUMMYFUNCTION("""COMPUTED_VALUE"""),4)</f>
        <v>4</v>
      </c>
      <c r="H795" s="196"/>
      <c r="I795" s="196"/>
      <c r="J795" s="196"/>
      <c r="K795" s="196"/>
      <c r="L795" s="196" t="str">
        <v/>
      </c>
      <c r="M795" s="196"/>
    </row>
    <row r="796" spans="1:13" ht="14.4" x14ac:dyDescent="0.3">
      <c r="A796" s="189" t="str">
        <f ca="1">IFERROR(__xludf.DUMMYFUNCTION("""COMPUTED_VALUE"""),"HP")</f>
        <v>HP</v>
      </c>
      <c r="B796" s="195" t="str">
        <f ca="1">IFERROR(__xludf.DUMMYFUNCTION("""COMPUTED_VALUE"""),"Nolan Walsh")</f>
        <v>Nolan Walsh</v>
      </c>
      <c r="C796" s="189">
        <f ca="1">IFERROR(__xludf.DUMMYFUNCTION("""COMPUTED_VALUE"""),6)</f>
        <v>6</v>
      </c>
      <c r="D796" s="189" t="str">
        <f ca="1">IFERROR(__xludf.DUMMYFUNCTION("""COMPUTED_VALUE"""),"B")</f>
        <v>B</v>
      </c>
      <c r="E796" s="189" t="str">
        <f ca="1">IFERROR(__xludf.DUMMYFUNCTION("""COMPUTED_VALUE"""),"F")</f>
        <v>F</v>
      </c>
      <c r="F796" s="189" t="str">
        <f ca="1">IFERROR(__xludf.DUMMYFUNCTION("""COMPUTED_VALUE"""),"J")</f>
        <v>J</v>
      </c>
      <c r="G796" s="189">
        <f ca="1">IFERROR(__xludf.DUMMYFUNCTION("""COMPUTED_VALUE"""),4)</f>
        <v>4</v>
      </c>
      <c r="H796" s="196" t="s">
        <v>346</v>
      </c>
      <c r="I796" s="196"/>
      <c r="J796" s="196" t="s">
        <v>29</v>
      </c>
      <c r="K796" s="196"/>
      <c r="L796" s="196" t="str">
        <v xml:space="preserve"> 21.05</v>
      </c>
      <c r="M796" s="196"/>
    </row>
    <row r="797" spans="1:13" ht="14.4" x14ac:dyDescent="0.3">
      <c r="A797" s="189" t="str">
        <f ca="1">IFERROR(__xludf.DUMMYFUNCTION("""COMPUTED_VALUE"""),"HP")</f>
        <v>HP</v>
      </c>
      <c r="B797" s="195" t="str">
        <f ca="1">IFERROR(__xludf.DUMMYFUNCTION("""COMPUTED_VALUE"""),"Sean Tighe")</f>
        <v>Sean Tighe</v>
      </c>
      <c r="C797" s="189">
        <f ca="1">IFERROR(__xludf.DUMMYFUNCTION("""COMPUTED_VALUE"""),8)</f>
        <v>8</v>
      </c>
      <c r="D797" s="189" t="str">
        <f ca="1">IFERROR(__xludf.DUMMYFUNCTION("""COMPUTED_VALUE"""),"B")</f>
        <v>B</v>
      </c>
      <c r="E797" s="189" t="str">
        <f ca="1">IFERROR(__xludf.DUMMYFUNCTION("""COMPUTED_VALUE"""),"F")</f>
        <v>F</v>
      </c>
      <c r="F797" s="189" t="str">
        <f ca="1">IFERROR(__xludf.DUMMYFUNCTION("""COMPUTED_VALUE"""),"J")</f>
        <v>J</v>
      </c>
      <c r="G797" s="189">
        <f ca="1">IFERROR(__xludf.DUMMYFUNCTION("""COMPUTED_VALUE"""),4)</f>
        <v>4</v>
      </c>
      <c r="H797" s="196" t="s">
        <v>347</v>
      </c>
      <c r="I797" s="196"/>
      <c r="J797" s="196" t="s">
        <v>29</v>
      </c>
      <c r="K797" s="196"/>
      <c r="L797" s="196" t="str">
        <v xml:space="preserve"> 28.00</v>
      </c>
      <c r="M797" s="196"/>
    </row>
    <row r="798" spans="1:13" ht="14.4" x14ac:dyDescent="0.3">
      <c r="A798" s="189" t="str">
        <f ca="1">IFERROR(__xludf.DUMMYFUNCTION("""COMPUTED_VALUE"""),"HP")</f>
        <v>HP</v>
      </c>
      <c r="B798" s="195" t="str">
        <f ca="1">IFERROR(__xludf.DUMMYFUNCTION("""COMPUTED_VALUE"""),"Christine Hackl")</f>
        <v>Christine Hackl</v>
      </c>
      <c r="C798" s="189">
        <f ca="1">IFERROR(__xludf.DUMMYFUNCTION("""COMPUTED_VALUE"""),13)</f>
        <v>13</v>
      </c>
      <c r="D798" s="189" t="str">
        <f ca="1">IFERROR(__xludf.DUMMYFUNCTION("""COMPUTED_VALUE"""),"G")</f>
        <v>G</v>
      </c>
      <c r="E798" s="189" t="str">
        <f ca="1">IFERROR(__xludf.DUMMYFUNCTION("""COMPUTED_VALUE"""),"I")</f>
        <v>I</v>
      </c>
      <c r="F798" s="189" t="str">
        <f ca="1">IFERROR(__xludf.DUMMYFUNCTION("""COMPUTED_VALUE"""),"S")</f>
        <v>S</v>
      </c>
      <c r="G798" s="189">
        <f ca="1">IFERROR(__xludf.DUMMYFUNCTION("""COMPUTED_VALUE"""),4)</f>
        <v>4</v>
      </c>
      <c r="H798" s="196" t="s">
        <v>348</v>
      </c>
      <c r="I798" s="196"/>
      <c r="J798" s="196" t="s">
        <v>29</v>
      </c>
      <c r="K798" s="196"/>
      <c r="L798" s="196" t="str">
        <v xml:space="preserve"> 40.30</v>
      </c>
      <c r="M798" s="196"/>
    </row>
    <row r="799" spans="1:13" ht="14.4" x14ac:dyDescent="0.3">
      <c r="A799" s="189" t="str">
        <f ca="1">IFERROR(__xludf.DUMMYFUNCTION("""COMPUTED_VALUE"""),"HP")</f>
        <v>HP</v>
      </c>
      <c r="B799" s="195" t="str">
        <f ca="1">IFERROR(__xludf.DUMMYFUNCTION("""COMPUTED_VALUE"""),"Kimberly Kobus")</f>
        <v>Kimberly Kobus</v>
      </c>
      <c r="C799" s="189">
        <f ca="1">IFERROR(__xludf.DUMMYFUNCTION("""COMPUTED_VALUE"""),14)</f>
        <v>14</v>
      </c>
      <c r="D799" s="189" t="str">
        <f ca="1">IFERROR(__xludf.DUMMYFUNCTION("""COMPUTED_VALUE"""),"G")</f>
        <v>G</v>
      </c>
      <c r="E799" s="189" t="str">
        <f ca="1">IFERROR(__xludf.DUMMYFUNCTION("""COMPUTED_VALUE"""),"I")</f>
        <v>I</v>
      </c>
      <c r="F799" s="189" t="str">
        <f ca="1">IFERROR(__xludf.DUMMYFUNCTION("""COMPUTED_VALUE"""),"S")</f>
        <v>S</v>
      </c>
      <c r="G799" s="189">
        <f ca="1">IFERROR(__xludf.DUMMYFUNCTION("""COMPUTED_VALUE"""),4)</f>
        <v>4</v>
      </c>
      <c r="H799" s="196"/>
      <c r="I799" s="196"/>
      <c r="J799" s="196"/>
      <c r="K799" s="196"/>
      <c r="L799" s="196" t="str">
        <v/>
      </c>
      <c r="M799" s="196"/>
    </row>
    <row r="800" spans="1:13" ht="14.4" x14ac:dyDescent="0.3">
      <c r="A800" s="189" t="str">
        <f ca="1">IFERROR(__xludf.DUMMYFUNCTION("""COMPUTED_VALUE"""),"HP")</f>
        <v>HP</v>
      </c>
      <c r="B800" s="195" t="str">
        <f ca="1">IFERROR(__xludf.DUMMYFUNCTION("""COMPUTED_VALUE"""),"Lucinda Ross")</f>
        <v>Lucinda Ross</v>
      </c>
      <c r="C800" s="189">
        <f ca="1">IFERROR(__xludf.DUMMYFUNCTION("""COMPUTED_VALUE"""),13)</f>
        <v>13</v>
      </c>
      <c r="D800" s="189" t="str">
        <f ca="1">IFERROR(__xludf.DUMMYFUNCTION("""COMPUTED_VALUE"""),"G")</f>
        <v>G</v>
      </c>
      <c r="E800" s="189" t="str">
        <f ca="1">IFERROR(__xludf.DUMMYFUNCTION("""COMPUTED_VALUE"""),"I")</f>
        <v>I</v>
      </c>
      <c r="F800" s="189" t="str">
        <f ca="1">IFERROR(__xludf.DUMMYFUNCTION("""COMPUTED_VALUE"""),"S")</f>
        <v>S</v>
      </c>
      <c r="G800" s="189">
        <f ca="1">IFERROR(__xludf.DUMMYFUNCTION("""COMPUTED_VALUE"""),4)</f>
        <v>4</v>
      </c>
      <c r="H800" s="196" t="s">
        <v>349</v>
      </c>
      <c r="I800" s="196"/>
      <c r="J800" s="196" t="s">
        <v>29</v>
      </c>
      <c r="K800" s="196"/>
      <c r="L800" s="196" t="str">
        <v xml:space="preserve"> 56.45</v>
      </c>
      <c r="M800" s="196"/>
    </row>
    <row r="801" spans="1:13" ht="14.4" x14ac:dyDescent="0.3">
      <c r="A801" s="189" t="str">
        <f ca="1">IFERROR(__xludf.DUMMYFUNCTION("""COMPUTED_VALUE"""),"HP")</f>
        <v>HP</v>
      </c>
      <c r="B801" s="195" t="str">
        <f ca="1">IFERROR(__xludf.DUMMYFUNCTION("""COMPUTED_VALUE"""),"Piper Guy")</f>
        <v>Piper Guy</v>
      </c>
      <c r="C801" s="189">
        <f ca="1">IFERROR(__xludf.DUMMYFUNCTION("""COMPUTED_VALUE"""),14)</f>
        <v>14</v>
      </c>
      <c r="D801" s="189" t="str">
        <f ca="1">IFERROR(__xludf.DUMMYFUNCTION("""COMPUTED_VALUE"""),"G")</f>
        <v>G</v>
      </c>
      <c r="E801" s="189" t="str">
        <f ca="1">IFERROR(__xludf.DUMMYFUNCTION("""COMPUTED_VALUE"""),"I")</f>
        <v>I</v>
      </c>
      <c r="F801" s="189" t="str">
        <f ca="1">IFERROR(__xludf.DUMMYFUNCTION("""COMPUTED_VALUE"""),"S")</f>
        <v>S</v>
      </c>
      <c r="G801" s="189">
        <f ca="1">IFERROR(__xludf.DUMMYFUNCTION("""COMPUTED_VALUE"""),4)</f>
        <v>4</v>
      </c>
      <c r="H801" s="196" t="s">
        <v>350</v>
      </c>
      <c r="I801" s="196"/>
      <c r="J801" s="196" t="s">
        <v>29</v>
      </c>
      <c r="K801" s="196"/>
      <c r="L801" s="196" t="str">
        <v xml:space="preserve"> 91.35</v>
      </c>
      <c r="M801" s="196"/>
    </row>
    <row r="802" spans="1:13" ht="14.4" x14ac:dyDescent="0.3">
      <c r="A802" s="189" t="str">
        <f ca="1">IFERROR(__xludf.DUMMYFUNCTION("""COMPUTED_VALUE"""),"HP")</f>
        <v>HP</v>
      </c>
      <c r="B802" s="195" t="str">
        <f ca="1">IFERROR(__xludf.DUMMYFUNCTION("""COMPUTED_VALUE"""),"Karsten Tregaskis-Gordon")</f>
        <v>Karsten Tregaskis-Gordon</v>
      </c>
      <c r="C802" s="189">
        <f ca="1">IFERROR(__xludf.DUMMYFUNCTION("""COMPUTED_VALUE"""),14)</f>
        <v>14</v>
      </c>
      <c r="D802" s="189" t="str">
        <f ca="1">IFERROR(__xludf.DUMMYFUNCTION("""COMPUTED_VALUE"""),"B")</f>
        <v>B</v>
      </c>
      <c r="E802" s="189" t="str">
        <f ca="1">IFERROR(__xludf.DUMMYFUNCTION("""COMPUTED_VALUE"""),"I")</f>
        <v>I</v>
      </c>
      <c r="F802" s="189" t="str">
        <f ca="1">IFERROR(__xludf.DUMMYFUNCTION("""COMPUTED_VALUE"""),"S")</f>
        <v>S</v>
      </c>
      <c r="G802" s="189">
        <f ca="1">IFERROR(__xludf.DUMMYFUNCTION("""COMPUTED_VALUE"""),4)</f>
        <v>4</v>
      </c>
      <c r="H802" s="196"/>
      <c r="I802" s="196"/>
      <c r="J802" s="196"/>
      <c r="K802" s="196"/>
      <c r="L802" s="196" t="str">
        <v/>
      </c>
      <c r="M802" s="196"/>
    </row>
    <row r="803" spans="1:13" ht="14.4" x14ac:dyDescent="0.3">
      <c r="A803" s="189" t="str">
        <f ca="1">IFERROR(__xludf.DUMMYFUNCTION("""COMPUTED_VALUE"""),"HP")</f>
        <v>HP</v>
      </c>
      <c r="B803" s="195" t="str">
        <f ca="1">IFERROR(__xludf.DUMMYFUNCTION("""COMPUTED_VALUE"""),"Liam Painter")</f>
        <v>Liam Painter</v>
      </c>
      <c r="C803" s="189">
        <f ca="1">IFERROR(__xludf.DUMMYFUNCTION("""COMPUTED_VALUE"""),13)</f>
        <v>13</v>
      </c>
      <c r="D803" s="189" t="str">
        <f ca="1">IFERROR(__xludf.DUMMYFUNCTION("""COMPUTED_VALUE"""),"B")</f>
        <v>B</v>
      </c>
      <c r="E803" s="189" t="str">
        <f ca="1">IFERROR(__xludf.DUMMYFUNCTION("""COMPUTED_VALUE"""),"I")</f>
        <v>I</v>
      </c>
      <c r="F803" s="189" t="str">
        <f ca="1">IFERROR(__xludf.DUMMYFUNCTION("""COMPUTED_VALUE"""),"S")</f>
        <v>S</v>
      </c>
      <c r="G803" s="189">
        <f ca="1">IFERROR(__xludf.DUMMYFUNCTION("""COMPUTED_VALUE"""),4)</f>
        <v>4</v>
      </c>
      <c r="H803" s="196"/>
      <c r="I803" s="196"/>
      <c r="J803" s="196"/>
      <c r="K803" s="196"/>
      <c r="L803" s="196" t="str">
        <v/>
      </c>
      <c r="M803" s="196"/>
    </row>
    <row r="804" spans="1:13" ht="14.4" x14ac:dyDescent="0.3">
      <c r="A804" s="189" t="str">
        <f ca="1">IFERROR(__xludf.DUMMYFUNCTION("""COMPUTED_VALUE"""),"HP")</f>
        <v>HP</v>
      </c>
      <c r="B804" s="195" t="str">
        <f ca="1">IFERROR(__xludf.DUMMYFUNCTION("""COMPUTED_VALUE"""),"Eleanor Howell")</f>
        <v>Eleanor Howell</v>
      </c>
      <c r="C804" s="189">
        <f ca="1">IFERROR(__xludf.DUMMYFUNCTION("""COMPUTED_VALUE"""),11)</f>
        <v>11</v>
      </c>
      <c r="D804" s="189" t="str">
        <f ca="1">IFERROR(__xludf.DUMMYFUNCTION("""COMPUTED_VALUE"""),"G")</f>
        <v>G</v>
      </c>
      <c r="E804" s="189" t="str">
        <f ca="1">IFERROR(__xludf.DUMMYFUNCTION("""COMPUTED_VALUE"""),"J")</f>
        <v>J</v>
      </c>
      <c r="F804" s="189" t="str">
        <f ca="1">IFERROR(__xludf.DUMMYFUNCTION("""COMPUTED_VALUE"""),"I")</f>
        <v>I</v>
      </c>
      <c r="G804" s="189">
        <f ca="1">IFERROR(__xludf.DUMMYFUNCTION("""COMPUTED_VALUE"""),4)</f>
        <v>4</v>
      </c>
      <c r="H804" s="196"/>
      <c r="I804" s="196"/>
      <c r="J804" s="196"/>
      <c r="K804" s="196"/>
      <c r="L804" s="196" t="str">
        <v/>
      </c>
      <c r="M804" s="196"/>
    </row>
    <row r="805" spans="1:13" ht="14.4" x14ac:dyDescent="0.3">
      <c r="A805" s="189" t="str">
        <f ca="1">IFERROR(__xludf.DUMMYFUNCTION("""COMPUTED_VALUE"""),"HP")</f>
        <v>HP</v>
      </c>
      <c r="B805" s="195" t="str">
        <f ca="1">IFERROR(__xludf.DUMMYFUNCTION("""COMPUTED_VALUE"""),"Leah Jandrain")</f>
        <v>Leah Jandrain</v>
      </c>
      <c r="C805" s="189">
        <f ca="1">IFERROR(__xludf.DUMMYFUNCTION("""COMPUTED_VALUE"""),11)</f>
        <v>11</v>
      </c>
      <c r="D805" s="189" t="str">
        <f ca="1">IFERROR(__xludf.DUMMYFUNCTION("""COMPUTED_VALUE"""),"G")</f>
        <v>G</v>
      </c>
      <c r="E805" s="189" t="str">
        <f ca="1">IFERROR(__xludf.DUMMYFUNCTION("""COMPUTED_VALUE"""),"J")</f>
        <v>J</v>
      </c>
      <c r="F805" s="189" t="str">
        <f ca="1">IFERROR(__xludf.DUMMYFUNCTION("""COMPUTED_VALUE"""),"I")</f>
        <v>I</v>
      </c>
      <c r="G805" s="189">
        <f ca="1">IFERROR(__xludf.DUMMYFUNCTION("""COMPUTED_VALUE"""),4)</f>
        <v>4</v>
      </c>
      <c r="H805" s="196" t="s">
        <v>351</v>
      </c>
      <c r="I805" s="196"/>
      <c r="J805" s="196" t="s">
        <v>29</v>
      </c>
      <c r="K805" s="196"/>
      <c r="L805" s="196" t="str">
        <v xml:space="preserve"> 90.05</v>
      </c>
      <c r="M805" s="196"/>
    </row>
    <row r="806" spans="1:13" ht="14.4" x14ac:dyDescent="0.3">
      <c r="A806" s="189" t="str">
        <f ca="1">IFERROR(__xludf.DUMMYFUNCTION("""COMPUTED_VALUE"""),"HP")</f>
        <v>HP</v>
      </c>
      <c r="B806" s="195" t="str">
        <f ca="1">IFERROR(__xludf.DUMMYFUNCTION("""COMPUTED_VALUE"""),"Mouse Guy")</f>
        <v>Mouse Guy</v>
      </c>
      <c r="C806" s="189">
        <f ca="1">IFERROR(__xludf.DUMMYFUNCTION("""COMPUTED_VALUE"""),11)</f>
        <v>11</v>
      </c>
      <c r="D806" s="189" t="str">
        <f ca="1">IFERROR(__xludf.DUMMYFUNCTION("""COMPUTED_VALUE"""),"G")</f>
        <v>G</v>
      </c>
      <c r="E806" s="189" t="str">
        <f ca="1">IFERROR(__xludf.DUMMYFUNCTION("""COMPUTED_VALUE"""),"J")</f>
        <v>J</v>
      </c>
      <c r="F806" s="189" t="str">
        <f ca="1">IFERROR(__xludf.DUMMYFUNCTION("""COMPUTED_VALUE"""),"I")</f>
        <v>I</v>
      </c>
      <c r="G806" s="189">
        <f ca="1">IFERROR(__xludf.DUMMYFUNCTION("""COMPUTED_VALUE"""),4)</f>
        <v>4</v>
      </c>
      <c r="H806" s="196" t="s">
        <v>352</v>
      </c>
      <c r="I806" s="196"/>
      <c r="J806" s="196" t="s">
        <v>29</v>
      </c>
      <c r="K806" s="196"/>
      <c r="L806" s="196" t="str">
        <v xml:space="preserve"> 88.45</v>
      </c>
      <c r="M806" s="196"/>
    </row>
    <row r="807" spans="1:13" ht="14.4" x14ac:dyDescent="0.3">
      <c r="A807" s="189" t="str">
        <f ca="1">IFERROR(__xludf.DUMMYFUNCTION("""COMPUTED_VALUE"""),"HP")</f>
        <v>HP</v>
      </c>
      <c r="B807" s="195" t="str">
        <f ca="1">IFERROR(__xludf.DUMMYFUNCTION("""COMPUTED_VALUE"""),"Phoebe Guy")</f>
        <v>Phoebe Guy</v>
      </c>
      <c r="C807" s="189">
        <f ca="1">IFERROR(__xludf.DUMMYFUNCTION("""COMPUTED_VALUE"""),12)</f>
        <v>12</v>
      </c>
      <c r="D807" s="189" t="str">
        <f ca="1">IFERROR(__xludf.DUMMYFUNCTION("""COMPUTED_VALUE"""),"G")</f>
        <v>G</v>
      </c>
      <c r="E807" s="189" t="str">
        <f ca="1">IFERROR(__xludf.DUMMYFUNCTION("""COMPUTED_VALUE"""),"J")</f>
        <v>J</v>
      </c>
      <c r="F807" s="189" t="str">
        <f ca="1">IFERROR(__xludf.DUMMYFUNCTION("""COMPUTED_VALUE"""),"I")</f>
        <v>I</v>
      </c>
      <c r="G807" s="189">
        <f ca="1">IFERROR(__xludf.DUMMYFUNCTION("""COMPUTED_VALUE"""),4)</f>
        <v>4</v>
      </c>
      <c r="H807" s="196" t="s">
        <v>353</v>
      </c>
      <c r="I807" s="196"/>
      <c r="J807" s="196" t="s">
        <v>29</v>
      </c>
      <c r="K807" s="196"/>
      <c r="L807" s="196" t="str">
        <v xml:space="preserve"> 51.90</v>
      </c>
      <c r="M807" s="196"/>
    </row>
    <row r="808" spans="1:13" ht="14.4" x14ac:dyDescent="0.3">
      <c r="A808" s="189" t="str">
        <f ca="1">IFERROR(__xludf.DUMMYFUNCTION("""COMPUTED_VALUE"""),"HP")</f>
        <v>HP</v>
      </c>
      <c r="B808" s="195" t="str">
        <f ca="1">IFERROR(__xludf.DUMMYFUNCTION("""COMPUTED_VALUE"""),"Ben Margolis")</f>
        <v>Ben Margolis</v>
      </c>
      <c r="C808" s="189">
        <f ca="1">IFERROR(__xludf.DUMMYFUNCTION("""COMPUTED_VALUE"""),12)</f>
        <v>12</v>
      </c>
      <c r="D808" s="189" t="str">
        <f ca="1">IFERROR(__xludf.DUMMYFUNCTION("""COMPUTED_VALUE"""),"B")</f>
        <v>B</v>
      </c>
      <c r="E808" s="189" t="str">
        <f ca="1">IFERROR(__xludf.DUMMYFUNCTION("""COMPUTED_VALUE"""),"J")</f>
        <v>J</v>
      </c>
      <c r="F808" s="189" t="str">
        <f ca="1">IFERROR(__xludf.DUMMYFUNCTION("""COMPUTED_VALUE"""),"I")</f>
        <v>I</v>
      </c>
      <c r="G808" s="189">
        <f ca="1">IFERROR(__xludf.DUMMYFUNCTION("""COMPUTED_VALUE"""),4)</f>
        <v>4</v>
      </c>
      <c r="H808" s="196" t="s">
        <v>354</v>
      </c>
      <c r="I808" s="196"/>
      <c r="J808" s="196" t="s">
        <v>29</v>
      </c>
      <c r="K808" s="196"/>
      <c r="L808" s="196" t="str">
        <v xml:space="preserve"> 73.80</v>
      </c>
      <c r="M808" s="196"/>
    </row>
    <row r="809" spans="1:13" ht="14.4" x14ac:dyDescent="0.3">
      <c r="A809" s="189" t="str">
        <f ca="1">IFERROR(__xludf.DUMMYFUNCTION("""COMPUTED_VALUE"""),"HP")</f>
        <v>HP</v>
      </c>
      <c r="B809" s="195" t="str">
        <f ca="1">IFERROR(__xludf.DUMMYFUNCTION("""COMPUTED_VALUE"""),"Cameron Cohen")</f>
        <v>Cameron Cohen</v>
      </c>
      <c r="C809" s="189">
        <f ca="1">IFERROR(__xludf.DUMMYFUNCTION("""COMPUTED_VALUE"""),11)</f>
        <v>11</v>
      </c>
      <c r="D809" s="189" t="str">
        <f ca="1">IFERROR(__xludf.DUMMYFUNCTION("""COMPUTED_VALUE"""),"B")</f>
        <v>B</v>
      </c>
      <c r="E809" s="189" t="str">
        <f ca="1">IFERROR(__xludf.DUMMYFUNCTION("""COMPUTED_VALUE"""),"J")</f>
        <v>J</v>
      </c>
      <c r="F809" s="189" t="str">
        <f ca="1">IFERROR(__xludf.DUMMYFUNCTION("""COMPUTED_VALUE"""),"I")</f>
        <v>I</v>
      </c>
      <c r="G809" s="189">
        <f ca="1">IFERROR(__xludf.DUMMYFUNCTION("""COMPUTED_VALUE"""),4)</f>
        <v>4</v>
      </c>
      <c r="H809" s="196" t="s">
        <v>355</v>
      </c>
      <c r="I809" s="196"/>
      <c r="J809" s="196" t="s">
        <v>29</v>
      </c>
      <c r="K809" s="196"/>
      <c r="L809" s="196" t="str">
        <v xml:space="preserve"> 67.05</v>
      </c>
      <c r="M809" s="196"/>
    </row>
    <row r="810" spans="1:13" ht="14.4" x14ac:dyDescent="0.3">
      <c r="A810" s="189" t="str">
        <f ca="1">IFERROR(__xludf.DUMMYFUNCTION("""COMPUTED_VALUE"""),"HP")</f>
        <v>HP</v>
      </c>
      <c r="B810" s="195" t="str">
        <f ca="1">IFERROR(__xludf.DUMMYFUNCTION("""COMPUTED_VALUE"""),"Elliot Kobus")</f>
        <v>Elliot Kobus</v>
      </c>
      <c r="C810" s="189">
        <f ca="1">IFERROR(__xludf.DUMMYFUNCTION("""COMPUTED_VALUE"""),11)</f>
        <v>11</v>
      </c>
      <c r="D810" s="189" t="str">
        <f ca="1">IFERROR(__xludf.DUMMYFUNCTION("""COMPUTED_VALUE"""),"B")</f>
        <v>B</v>
      </c>
      <c r="E810" s="189" t="str">
        <f ca="1">IFERROR(__xludf.DUMMYFUNCTION("""COMPUTED_VALUE"""),"J")</f>
        <v>J</v>
      </c>
      <c r="F810" s="189" t="str">
        <f ca="1">IFERROR(__xludf.DUMMYFUNCTION("""COMPUTED_VALUE"""),"I")</f>
        <v>I</v>
      </c>
      <c r="G810" s="189">
        <f ca="1">IFERROR(__xludf.DUMMYFUNCTION("""COMPUTED_VALUE"""),4)</f>
        <v>4</v>
      </c>
      <c r="H810" s="196"/>
      <c r="I810" s="196"/>
      <c r="J810" s="196"/>
      <c r="K810" s="196"/>
      <c r="L810" s="196" t="str">
        <v/>
      </c>
      <c r="M810" s="196"/>
    </row>
    <row r="811" spans="1:13" ht="14.4" x14ac:dyDescent="0.3">
      <c r="A811" s="189" t="str">
        <f ca="1">IFERROR(__xludf.DUMMYFUNCTION("""COMPUTED_VALUE"""),"HP")</f>
        <v>HP</v>
      </c>
      <c r="B811" s="195" t="str">
        <f ca="1">IFERROR(__xludf.DUMMYFUNCTION("""COMPUTED_VALUE"""),"Gavin Stiens")</f>
        <v>Gavin Stiens</v>
      </c>
      <c r="C811" s="189">
        <f ca="1">IFERROR(__xludf.DUMMYFUNCTION("""COMPUTED_VALUE"""),12)</f>
        <v>12</v>
      </c>
      <c r="D811" s="189" t="str">
        <f ca="1">IFERROR(__xludf.DUMMYFUNCTION("""COMPUTED_VALUE"""),"B")</f>
        <v>B</v>
      </c>
      <c r="E811" s="189" t="str">
        <f ca="1">IFERROR(__xludf.DUMMYFUNCTION("""COMPUTED_VALUE"""),"J")</f>
        <v>J</v>
      </c>
      <c r="F811" s="189" t="str">
        <f ca="1">IFERROR(__xludf.DUMMYFUNCTION("""COMPUTED_VALUE"""),"I")</f>
        <v>I</v>
      </c>
      <c r="G811" s="189">
        <f ca="1">IFERROR(__xludf.DUMMYFUNCTION("""COMPUTED_VALUE"""),4)</f>
        <v>4</v>
      </c>
      <c r="H811" s="196"/>
      <c r="I811" s="196"/>
      <c r="J811" s="196"/>
      <c r="K811" s="196"/>
      <c r="L811" s="196" t="str">
        <v/>
      </c>
      <c r="M811" s="196"/>
    </row>
    <row r="812" spans="1:13" ht="14.4" x14ac:dyDescent="0.3">
      <c r="A812" s="189" t="str">
        <f ca="1">IFERROR(__xludf.DUMMYFUNCTION("""COMPUTED_VALUE"""),"HP")</f>
        <v>HP</v>
      </c>
      <c r="B812" s="195" t="str">
        <f ca="1">IFERROR(__xludf.DUMMYFUNCTION("""COMPUTED_VALUE"""),"JJ Snyder")</f>
        <v>JJ Snyder</v>
      </c>
      <c r="C812" s="189">
        <f ca="1">IFERROR(__xludf.DUMMYFUNCTION("""COMPUTED_VALUE"""),11)</f>
        <v>11</v>
      </c>
      <c r="D812" s="189" t="str">
        <f ca="1">IFERROR(__xludf.DUMMYFUNCTION("""COMPUTED_VALUE"""),"B")</f>
        <v>B</v>
      </c>
      <c r="E812" s="189" t="str">
        <f ca="1">IFERROR(__xludf.DUMMYFUNCTION("""COMPUTED_VALUE"""),"J")</f>
        <v>J</v>
      </c>
      <c r="F812" s="189" t="str">
        <f ca="1">IFERROR(__xludf.DUMMYFUNCTION("""COMPUTED_VALUE"""),"I")</f>
        <v>I</v>
      </c>
      <c r="G812" s="189">
        <f ca="1">IFERROR(__xludf.DUMMYFUNCTION("""COMPUTED_VALUE"""),4)</f>
        <v>4</v>
      </c>
      <c r="H812" s="196"/>
      <c r="I812" s="196"/>
      <c r="J812" s="196"/>
      <c r="K812" s="196"/>
      <c r="L812" s="196" t="str">
        <v/>
      </c>
      <c r="M812" s="196"/>
    </row>
    <row r="813" spans="1:13" ht="14.4" x14ac:dyDescent="0.3">
      <c r="A813" s="189" t="str">
        <f ca="1">IFERROR(__xludf.DUMMYFUNCTION("""COMPUTED_VALUE"""),"HP")</f>
        <v>HP</v>
      </c>
      <c r="B813" s="195" t="str">
        <f ca="1">IFERROR(__xludf.DUMMYFUNCTION("""COMPUTED_VALUE"""),"Joseph Mosinski")</f>
        <v>Joseph Mosinski</v>
      </c>
      <c r="C813" s="189">
        <f ca="1">IFERROR(__xludf.DUMMYFUNCTION("""COMPUTED_VALUE"""),12)</f>
        <v>12</v>
      </c>
      <c r="D813" s="189" t="str">
        <f ca="1">IFERROR(__xludf.DUMMYFUNCTION("""COMPUTED_VALUE"""),"B")</f>
        <v>B</v>
      </c>
      <c r="E813" s="189" t="str">
        <f ca="1">IFERROR(__xludf.DUMMYFUNCTION("""COMPUTED_VALUE"""),"J")</f>
        <v>J</v>
      </c>
      <c r="F813" s="189" t="str">
        <f ca="1">IFERROR(__xludf.DUMMYFUNCTION("""COMPUTED_VALUE"""),"I")</f>
        <v>I</v>
      </c>
      <c r="G813" s="189">
        <f ca="1">IFERROR(__xludf.DUMMYFUNCTION("""COMPUTED_VALUE"""),4)</f>
        <v>4</v>
      </c>
      <c r="H813" s="196" t="s">
        <v>356</v>
      </c>
      <c r="I813" s="196"/>
      <c r="J813" s="196" t="s">
        <v>29</v>
      </c>
      <c r="K813" s="196"/>
      <c r="L813" s="196" t="str">
        <v xml:space="preserve"> 61.05</v>
      </c>
      <c r="M813" s="196"/>
    </row>
    <row r="814" spans="1:13" ht="14.4" x14ac:dyDescent="0.3">
      <c r="A814" s="189" t="str">
        <f ca="1">IFERROR(__xludf.DUMMYFUNCTION("""COMPUTED_VALUE"""),"HP")</f>
        <v>HP</v>
      </c>
      <c r="B814" s="195" t="str">
        <f ca="1">IFERROR(__xludf.DUMMYFUNCTION("""COMPUTED_VALUE"""),"Julian Castro")</f>
        <v>Julian Castro</v>
      </c>
      <c r="C814" s="189">
        <f ca="1">IFERROR(__xludf.DUMMYFUNCTION("""COMPUTED_VALUE"""),11)</f>
        <v>11</v>
      </c>
      <c r="D814" s="189" t="str">
        <f ca="1">IFERROR(__xludf.DUMMYFUNCTION("""COMPUTED_VALUE"""),"B")</f>
        <v>B</v>
      </c>
      <c r="E814" s="189" t="str">
        <f ca="1">IFERROR(__xludf.DUMMYFUNCTION("""COMPUTED_VALUE"""),"J")</f>
        <v>J</v>
      </c>
      <c r="F814" s="189" t="str">
        <f ca="1">IFERROR(__xludf.DUMMYFUNCTION("""COMPUTED_VALUE"""),"I")</f>
        <v>I</v>
      </c>
      <c r="G814" s="189">
        <f ca="1">IFERROR(__xludf.DUMMYFUNCTION("""COMPUTED_VALUE"""),4)</f>
        <v>4</v>
      </c>
      <c r="H814" s="196" t="s">
        <v>357</v>
      </c>
      <c r="I814" s="196"/>
      <c r="J814" s="196" t="s">
        <v>64</v>
      </c>
      <c r="K814" s="196"/>
      <c r="L814" s="196" t="str">
        <v xml:space="preserve"> -88.85</v>
      </c>
      <c r="M814" s="196"/>
    </row>
    <row r="815" spans="1:13" ht="14.4" x14ac:dyDescent="0.3">
      <c r="A815" s="189" t="str">
        <f ca="1">IFERROR(__xludf.DUMMYFUNCTION("""COMPUTED_VALUE"""),"HP")</f>
        <v>HP</v>
      </c>
      <c r="B815" s="195" t="str">
        <f ca="1">IFERROR(__xludf.DUMMYFUNCTION("""COMPUTED_VALUE"""),"PJ Stigliano")</f>
        <v>PJ Stigliano</v>
      </c>
      <c r="C815" s="189">
        <f ca="1">IFERROR(__xludf.DUMMYFUNCTION("""COMPUTED_VALUE"""),11)</f>
        <v>11</v>
      </c>
      <c r="D815" s="189" t="str">
        <f ca="1">IFERROR(__xludf.DUMMYFUNCTION("""COMPUTED_VALUE"""),"B")</f>
        <v>B</v>
      </c>
      <c r="E815" s="189" t="str">
        <f ca="1">IFERROR(__xludf.DUMMYFUNCTION("""COMPUTED_VALUE"""),"J")</f>
        <v>J</v>
      </c>
      <c r="F815" s="189" t="str">
        <f ca="1">IFERROR(__xludf.DUMMYFUNCTION("""COMPUTED_VALUE"""),"I")</f>
        <v>I</v>
      </c>
      <c r="G815" s="189">
        <f ca="1">IFERROR(__xludf.DUMMYFUNCTION("""COMPUTED_VALUE"""),4)</f>
        <v>4</v>
      </c>
      <c r="H815" s="196" t="s">
        <v>358</v>
      </c>
      <c r="I815" s="196"/>
      <c r="J815" s="196" t="s">
        <v>29</v>
      </c>
      <c r="K815" s="196"/>
      <c r="L815" s="196" t="str">
        <v xml:space="preserve"> 89.25</v>
      </c>
      <c r="M815" s="196"/>
    </row>
    <row r="816" spans="1:13" ht="14.4" x14ac:dyDescent="0.3">
      <c r="A816" s="189" t="str">
        <f ca="1">IFERROR(__xludf.DUMMYFUNCTION("""COMPUTED_VALUE"""),"HP")</f>
        <v>HP</v>
      </c>
      <c r="B816" s="195" t="str">
        <f ca="1">IFERROR(__xludf.DUMMYFUNCTION("""COMPUTED_VALUE"""),"Qader Sarsour")</f>
        <v>Qader Sarsour</v>
      </c>
      <c r="C816" s="189">
        <f ca="1">IFERROR(__xludf.DUMMYFUNCTION("""COMPUTED_VALUE"""),11)</f>
        <v>11</v>
      </c>
      <c r="D816" s="189" t="str">
        <f ca="1">IFERROR(__xludf.DUMMYFUNCTION("""COMPUTED_VALUE"""),"B")</f>
        <v>B</v>
      </c>
      <c r="E816" s="189" t="str">
        <f ca="1">IFERROR(__xludf.DUMMYFUNCTION("""COMPUTED_VALUE"""),"J")</f>
        <v>J</v>
      </c>
      <c r="F816" s="189" t="str">
        <f ca="1">IFERROR(__xludf.DUMMYFUNCTION("""COMPUTED_VALUE"""),"I")</f>
        <v>I</v>
      </c>
      <c r="G816" s="189">
        <f ca="1">IFERROR(__xludf.DUMMYFUNCTION("""COMPUTED_VALUE"""),4)</f>
        <v>4</v>
      </c>
      <c r="H816" s="196"/>
      <c r="I816" s="196"/>
      <c r="J816" s="196"/>
      <c r="K816" s="196"/>
      <c r="L816" s="196" t="str">
        <v/>
      </c>
      <c r="M816" s="196"/>
    </row>
    <row r="817" spans="1:13" ht="14.4" x14ac:dyDescent="0.3">
      <c r="A817" s="189" t="str">
        <f ca="1">IFERROR(__xludf.DUMMYFUNCTION("""COMPUTED_VALUE"""),"HP")</f>
        <v>HP</v>
      </c>
      <c r="B817" s="195" t="str">
        <f ca="1">IFERROR(__xludf.DUMMYFUNCTION("""COMPUTED_VALUE"""),"Lilly Coulby")</f>
        <v>Lilly Coulby</v>
      </c>
      <c r="C817" s="189">
        <f ca="1">IFERROR(__xludf.DUMMYFUNCTION("""COMPUTED_VALUE"""),15)</f>
        <v>15</v>
      </c>
      <c r="D817" s="189" t="str">
        <f ca="1">IFERROR(__xludf.DUMMYFUNCTION("""COMPUTED_VALUE"""),"G")</f>
        <v>G</v>
      </c>
      <c r="E817" s="189" t="str">
        <f ca="1">IFERROR(__xludf.DUMMYFUNCTION("""COMPUTED_VALUE"""),"S")</f>
        <v>S</v>
      </c>
      <c r="F817" s="189" t="str">
        <f ca="1">IFERROR(__xludf.DUMMYFUNCTION("""COMPUTED_VALUE"""),"S")</f>
        <v>S</v>
      </c>
      <c r="G817" s="189">
        <f ca="1">IFERROR(__xludf.DUMMYFUNCTION("""COMPUTED_VALUE"""),4)</f>
        <v>4</v>
      </c>
      <c r="H817" s="196" t="s">
        <v>359</v>
      </c>
      <c r="I817" s="196"/>
      <c r="J817" s="196" t="s">
        <v>29</v>
      </c>
      <c r="K817" s="196"/>
      <c r="L817" s="196" t="str">
        <v xml:space="preserve"> 106.45</v>
      </c>
      <c r="M817" s="196"/>
    </row>
    <row r="818" spans="1:13" ht="14.4" x14ac:dyDescent="0.3">
      <c r="A818" s="189" t="str">
        <f ca="1">IFERROR(__xludf.DUMMYFUNCTION("""COMPUTED_VALUE"""),"HP")</f>
        <v>HP</v>
      </c>
      <c r="B818" s="195" t="str">
        <f ca="1">IFERROR(__xludf.DUMMYFUNCTION("""COMPUTED_VALUE"""),"Mabel Margolis")</f>
        <v>Mabel Margolis</v>
      </c>
      <c r="C818" s="189">
        <f ca="1">IFERROR(__xludf.DUMMYFUNCTION("""COMPUTED_VALUE"""),15)</f>
        <v>15</v>
      </c>
      <c r="D818" s="189" t="str">
        <f ca="1">IFERROR(__xludf.DUMMYFUNCTION("""COMPUTED_VALUE"""),"G")</f>
        <v>G</v>
      </c>
      <c r="E818" s="189" t="str">
        <f ca="1">IFERROR(__xludf.DUMMYFUNCTION("""COMPUTED_VALUE"""),"S")</f>
        <v>S</v>
      </c>
      <c r="F818" s="189" t="str">
        <f ca="1">IFERROR(__xludf.DUMMYFUNCTION("""COMPUTED_VALUE"""),"S")</f>
        <v>S</v>
      </c>
      <c r="G818" s="189">
        <f ca="1">IFERROR(__xludf.DUMMYFUNCTION("""COMPUTED_VALUE"""),4)</f>
        <v>4</v>
      </c>
      <c r="H818" s="196"/>
      <c r="I818" s="196"/>
      <c r="J818" s="196"/>
      <c r="K818" s="196"/>
      <c r="L818" s="196" t="str">
        <v/>
      </c>
      <c r="M818" s="196"/>
    </row>
    <row r="819" spans="1:13" ht="14.4" x14ac:dyDescent="0.3">
      <c r="A819" s="189" t="str">
        <f ca="1">IFERROR(__xludf.DUMMYFUNCTION("""COMPUTED_VALUE"""),"HP")</f>
        <v>HP</v>
      </c>
      <c r="B819" s="195" t="str">
        <f ca="1">IFERROR(__xludf.DUMMYFUNCTION("""COMPUTED_VALUE"""),"Nithy Pelekasis")</f>
        <v>Nithy Pelekasis</v>
      </c>
      <c r="C819" s="189">
        <f ca="1">IFERROR(__xludf.DUMMYFUNCTION("""COMPUTED_VALUE"""),15)</f>
        <v>15</v>
      </c>
      <c r="D819" s="189" t="str">
        <f ca="1">IFERROR(__xludf.DUMMYFUNCTION("""COMPUTED_VALUE"""),"G")</f>
        <v>G</v>
      </c>
      <c r="E819" s="189" t="str">
        <f ca="1">IFERROR(__xludf.DUMMYFUNCTION("""COMPUTED_VALUE"""),"S")</f>
        <v>S</v>
      </c>
      <c r="F819" s="189" t="str">
        <f ca="1">IFERROR(__xludf.DUMMYFUNCTION("""COMPUTED_VALUE"""),"S")</f>
        <v>S</v>
      </c>
      <c r="G819" s="189">
        <f ca="1">IFERROR(__xludf.DUMMYFUNCTION("""COMPUTED_VALUE"""),4)</f>
        <v>4</v>
      </c>
      <c r="H819" s="196" t="s">
        <v>360</v>
      </c>
      <c r="I819" s="196"/>
      <c r="J819" s="196" t="s">
        <v>29</v>
      </c>
      <c r="K819" s="196"/>
      <c r="L819" s="196" t="str">
        <v xml:space="preserve"> 82.00</v>
      </c>
      <c r="M819" s="196"/>
    </row>
    <row r="820" spans="1:13" ht="14.4" x14ac:dyDescent="0.3">
      <c r="A820" s="189" t="str">
        <f ca="1">IFERROR(__xludf.DUMMYFUNCTION("""COMPUTED_VALUE"""),"HP")</f>
        <v>HP</v>
      </c>
      <c r="B820" s="195" t="str">
        <f ca="1">IFERROR(__xludf.DUMMYFUNCTION("""COMPUTED_VALUE"""),"Brett Townsend")</f>
        <v>Brett Townsend</v>
      </c>
      <c r="C820" s="189">
        <f ca="1">IFERROR(__xludf.DUMMYFUNCTION("""COMPUTED_VALUE"""),18)</f>
        <v>18</v>
      </c>
      <c r="D820" s="189" t="str">
        <f ca="1">IFERROR(__xludf.DUMMYFUNCTION("""COMPUTED_VALUE"""),"B")</f>
        <v>B</v>
      </c>
      <c r="E820" s="189" t="str">
        <f ca="1">IFERROR(__xludf.DUMMYFUNCTION("""COMPUTED_VALUE"""),"S")</f>
        <v>S</v>
      </c>
      <c r="F820" s="189" t="str">
        <f ca="1">IFERROR(__xludf.DUMMYFUNCTION("""COMPUTED_VALUE"""),"S")</f>
        <v>S</v>
      </c>
      <c r="G820" s="189">
        <f ca="1">IFERROR(__xludf.DUMMYFUNCTION("""COMPUTED_VALUE"""),4)</f>
        <v>4</v>
      </c>
      <c r="H820" s="196" t="s">
        <v>361</v>
      </c>
      <c r="I820" s="196"/>
      <c r="J820" s="196" t="s">
        <v>29</v>
      </c>
      <c r="K820" s="196"/>
      <c r="L820" s="196" t="str">
        <v xml:space="preserve"> 97.90</v>
      </c>
      <c r="M820" s="196"/>
    </row>
    <row r="821" spans="1:13" ht="14.4" x14ac:dyDescent="0.3">
      <c r="A821" s="189" t="str">
        <f ca="1">IFERROR(__xludf.DUMMYFUNCTION("""COMPUTED_VALUE"""),"HP")</f>
        <v>HP</v>
      </c>
      <c r="B821" s="195" t="str">
        <f ca="1">IFERROR(__xludf.DUMMYFUNCTION("""COMPUTED_VALUE"""),"Caden Guy")</f>
        <v>Caden Guy</v>
      </c>
      <c r="C821" s="189">
        <f ca="1">IFERROR(__xludf.DUMMYFUNCTION("""COMPUTED_VALUE"""),18)</f>
        <v>18</v>
      </c>
      <c r="D821" s="189" t="str">
        <f ca="1">IFERROR(__xludf.DUMMYFUNCTION("""COMPUTED_VALUE"""),"B")</f>
        <v>B</v>
      </c>
      <c r="E821" s="189" t="str">
        <f ca="1">IFERROR(__xludf.DUMMYFUNCTION("""COMPUTED_VALUE"""),"S")</f>
        <v>S</v>
      </c>
      <c r="F821" s="189" t="str">
        <f ca="1">IFERROR(__xludf.DUMMYFUNCTION("""COMPUTED_VALUE"""),"S")</f>
        <v>S</v>
      </c>
      <c r="G821" s="189">
        <f ca="1">IFERROR(__xludf.DUMMYFUNCTION("""COMPUTED_VALUE"""),4)</f>
        <v>4</v>
      </c>
      <c r="H821" s="196" t="s">
        <v>362</v>
      </c>
      <c r="I821" s="196"/>
      <c r="J821" s="196" t="s">
        <v>29</v>
      </c>
      <c r="K821" s="196"/>
      <c r="L821" s="196" t="str">
        <v xml:space="preserve"> 221.95</v>
      </c>
      <c r="M821" s="196"/>
    </row>
    <row r="822" spans="1:13" ht="14.4" x14ac:dyDescent="0.3">
      <c r="A822" s="189" t="str">
        <f ca="1">IFERROR(__xludf.DUMMYFUNCTION("""COMPUTED_VALUE"""),"HP")</f>
        <v>HP</v>
      </c>
      <c r="B822" s="195" t="str">
        <f ca="1">IFERROR(__xludf.DUMMYFUNCTION("""COMPUTED_VALUE"""),"Desmond Damico-Lassman")</f>
        <v>Desmond Damico-Lassman</v>
      </c>
      <c r="C822" s="189">
        <f ca="1">IFERROR(__xludf.DUMMYFUNCTION("""COMPUTED_VALUE"""),17)</f>
        <v>17</v>
      </c>
      <c r="D822" s="189" t="str">
        <f ca="1">IFERROR(__xludf.DUMMYFUNCTION("""COMPUTED_VALUE"""),"B")</f>
        <v>B</v>
      </c>
      <c r="E822" s="189" t="str">
        <f ca="1">IFERROR(__xludf.DUMMYFUNCTION("""COMPUTED_VALUE"""),"S")</f>
        <v>S</v>
      </c>
      <c r="F822" s="189" t="str">
        <f ca="1">IFERROR(__xludf.DUMMYFUNCTION("""COMPUTED_VALUE"""),"S")</f>
        <v>S</v>
      </c>
      <c r="G822" s="189">
        <f ca="1">IFERROR(__xludf.DUMMYFUNCTION("""COMPUTED_VALUE"""),4)</f>
        <v>4</v>
      </c>
      <c r="H822" s="196" t="s">
        <v>363</v>
      </c>
      <c r="I822" s="196"/>
      <c r="J822" s="196" t="s">
        <v>29</v>
      </c>
      <c r="K822" s="196"/>
      <c r="L822" s="196" t="str">
        <v xml:space="preserve"> 138.80</v>
      </c>
      <c r="M822" s="196"/>
    </row>
    <row r="823" spans="1:13" ht="14.4" x14ac:dyDescent="0.3">
      <c r="A823" s="189" t="str">
        <f ca="1">IFERROR(__xludf.DUMMYFUNCTION("""COMPUTED_VALUE"""),"HP")</f>
        <v>HP</v>
      </c>
      <c r="B823" s="195" t="str">
        <f ca="1">IFERROR(__xludf.DUMMYFUNCTION("""COMPUTED_VALUE"""),"Jose Franco")</f>
        <v>Jose Franco</v>
      </c>
      <c r="C823" s="189">
        <f ca="1">IFERROR(__xludf.DUMMYFUNCTION("""COMPUTED_VALUE"""),16)</f>
        <v>16</v>
      </c>
      <c r="D823" s="189" t="str">
        <f ca="1">IFERROR(__xludf.DUMMYFUNCTION("""COMPUTED_VALUE"""),"B")</f>
        <v>B</v>
      </c>
      <c r="E823" s="189" t="str">
        <f ca="1">IFERROR(__xludf.DUMMYFUNCTION("""COMPUTED_VALUE"""),"S")</f>
        <v>S</v>
      </c>
      <c r="F823" s="189" t="str">
        <f ca="1">IFERROR(__xludf.DUMMYFUNCTION("""COMPUTED_VALUE"""),"S")</f>
        <v>S</v>
      </c>
      <c r="G823" s="189">
        <f ca="1">IFERROR(__xludf.DUMMYFUNCTION("""COMPUTED_VALUE"""),4)</f>
        <v>4</v>
      </c>
      <c r="H823" s="196"/>
      <c r="I823" s="196"/>
      <c r="J823" s="196"/>
      <c r="K823" s="196"/>
      <c r="L823" s="196" t="str">
        <v/>
      </c>
      <c r="M823" s="196"/>
    </row>
    <row r="824" spans="1:13" ht="14.4" x14ac:dyDescent="0.3">
      <c r="A824" s="189" t="str">
        <f ca="1">IFERROR(__xludf.DUMMYFUNCTION("""COMPUTED_VALUE"""),"HP")</f>
        <v>HP</v>
      </c>
      <c r="B824" s="195" t="str">
        <f ca="1">IFERROR(__xludf.DUMMYFUNCTION("""COMPUTED_VALUE"""),"Mac Coulby")</f>
        <v>Mac Coulby</v>
      </c>
      <c r="C824" s="189">
        <f ca="1">IFERROR(__xludf.DUMMYFUNCTION("""COMPUTED_VALUE"""),17)</f>
        <v>17</v>
      </c>
      <c r="D824" s="189" t="str">
        <f ca="1">IFERROR(__xludf.DUMMYFUNCTION("""COMPUTED_VALUE"""),"B")</f>
        <v>B</v>
      </c>
      <c r="E824" s="189" t="str">
        <f ca="1">IFERROR(__xludf.DUMMYFUNCTION("""COMPUTED_VALUE"""),"S")</f>
        <v>S</v>
      </c>
      <c r="F824" s="189" t="str">
        <f ca="1">IFERROR(__xludf.DUMMYFUNCTION("""COMPUTED_VALUE"""),"S")</f>
        <v>S</v>
      </c>
      <c r="G824" s="189">
        <f ca="1">IFERROR(__xludf.DUMMYFUNCTION("""COMPUTED_VALUE"""),4)</f>
        <v>4</v>
      </c>
      <c r="H824" s="196" t="s">
        <v>364</v>
      </c>
      <c r="I824" s="196"/>
      <c r="J824" s="196" t="s">
        <v>29</v>
      </c>
      <c r="K824" s="196"/>
      <c r="L824" s="196" t="str">
        <v xml:space="preserve"> 136.80</v>
      </c>
      <c r="M824" s="196"/>
    </row>
    <row r="825" spans="1:13" ht="14.4" x14ac:dyDescent="0.3">
      <c r="A825" s="189" t="str">
        <f ca="1">IFERROR(__xludf.DUMMYFUNCTION("""COMPUTED_VALUE"""),"HP")</f>
        <v>HP</v>
      </c>
      <c r="B825" s="195" t="str">
        <f ca="1">IFERROR(__xludf.DUMMYFUNCTION("""COMPUTED_VALUE"""),"Porter Bertman")</f>
        <v>Porter Bertman</v>
      </c>
      <c r="C825" s="189">
        <f ca="1">IFERROR(__xludf.DUMMYFUNCTION("""COMPUTED_VALUE"""),18)</f>
        <v>18</v>
      </c>
      <c r="D825" s="189" t="str">
        <f ca="1">IFERROR(__xludf.DUMMYFUNCTION("""COMPUTED_VALUE"""),"B")</f>
        <v>B</v>
      </c>
      <c r="E825" s="189" t="str">
        <f ca="1">IFERROR(__xludf.DUMMYFUNCTION("""COMPUTED_VALUE"""),"S")</f>
        <v>S</v>
      </c>
      <c r="F825" s="189" t="str">
        <f ca="1">IFERROR(__xludf.DUMMYFUNCTION("""COMPUTED_VALUE"""),"S")</f>
        <v>S</v>
      </c>
      <c r="G825" s="189">
        <f ca="1">IFERROR(__xludf.DUMMYFUNCTION("""COMPUTED_VALUE"""),4)</f>
        <v>4</v>
      </c>
      <c r="H825" s="196"/>
      <c r="I825" s="196"/>
      <c r="J825" s="196"/>
      <c r="K825" s="196"/>
      <c r="L825" s="196" t="str">
        <v/>
      </c>
      <c r="M825" s="196"/>
    </row>
    <row r="826" spans="1:13" ht="14.4" x14ac:dyDescent="0.3">
      <c r="A826" s="189" t="str">
        <f ca="1">IFERROR(__xludf.DUMMYFUNCTION("""COMPUTED_VALUE"""),"HP")</f>
        <v>HP</v>
      </c>
      <c r="B826" s="195" t="str">
        <f ca="1">IFERROR(__xludf.DUMMYFUNCTION("""COMPUTED_VALUE"""),"Tobias Damico-Lassman")</f>
        <v>Tobias Damico-Lassman</v>
      </c>
      <c r="C826" s="189">
        <f ca="1">IFERROR(__xludf.DUMMYFUNCTION("""COMPUTED_VALUE"""),15)</f>
        <v>15</v>
      </c>
      <c r="D826" s="189" t="str">
        <f ca="1">IFERROR(__xludf.DUMMYFUNCTION("""COMPUTED_VALUE"""),"B")</f>
        <v>B</v>
      </c>
      <c r="E826" s="189" t="str">
        <f ca="1">IFERROR(__xludf.DUMMYFUNCTION("""COMPUTED_VALUE"""),"S")</f>
        <v>S</v>
      </c>
      <c r="F826" s="189" t="str">
        <f ca="1">IFERROR(__xludf.DUMMYFUNCTION("""COMPUTED_VALUE"""),"S")</f>
        <v>S</v>
      </c>
      <c r="G826" s="189">
        <f ca="1">IFERROR(__xludf.DUMMYFUNCTION("""COMPUTED_VALUE"""),4)</f>
        <v>4</v>
      </c>
      <c r="H826" s="196"/>
      <c r="I826" s="196"/>
      <c r="J826" s="196"/>
      <c r="K826" s="196"/>
      <c r="L826" s="196" t="str">
        <v/>
      </c>
      <c r="M826" s="196"/>
    </row>
    <row r="827" spans="1:13" ht="14.4" x14ac:dyDescent="0.3">
      <c r="A827" s="189" t="str">
        <f ca="1">IFERROR(__xludf.DUMMYFUNCTION("""COMPUTED_VALUE"""),"HS")</f>
        <v>HS</v>
      </c>
      <c r="B827" s="195" t="str">
        <f ca="1">IFERROR(__xludf.DUMMYFUNCTION("""COMPUTED_VALUE"""),"Ellie Bianco")</f>
        <v>Ellie Bianco</v>
      </c>
      <c r="C827" s="189">
        <f ca="1">IFERROR(__xludf.DUMMYFUNCTION("""COMPUTED_VALUE"""),8)</f>
        <v>8</v>
      </c>
      <c r="D827" s="189" t="str">
        <f ca="1">IFERROR(__xludf.DUMMYFUNCTION("""COMPUTED_VALUE"""),"G")</f>
        <v>G</v>
      </c>
      <c r="E827" s="189" t="str">
        <f ca="1">IFERROR(__xludf.DUMMYFUNCTION("""COMPUTED_VALUE"""),"F")</f>
        <v>F</v>
      </c>
      <c r="F827" s="189" t="str">
        <f ca="1">IFERROR(__xludf.DUMMYFUNCTION("""COMPUTED_VALUE"""),"J")</f>
        <v>J</v>
      </c>
      <c r="G827" s="189">
        <f ca="1">IFERROR(__xludf.DUMMYFUNCTION("""COMPUTED_VALUE"""),2)</f>
        <v>2</v>
      </c>
      <c r="H827" s="196"/>
      <c r="I827" s="196"/>
      <c r="J827" s="196"/>
      <c r="K827" s="196"/>
      <c r="L827" s="196" t="str">
        <v/>
      </c>
      <c r="M827" s="196"/>
    </row>
    <row r="828" spans="1:13" ht="14.4" x14ac:dyDescent="0.3">
      <c r="A828" s="189" t="str">
        <f ca="1">IFERROR(__xludf.DUMMYFUNCTION("""COMPUTED_VALUE"""),"HS")</f>
        <v>HS</v>
      </c>
      <c r="B828" s="195" t="str">
        <f ca="1">IFERROR(__xludf.DUMMYFUNCTION("""COMPUTED_VALUE"""),"Emalyn Gharakhanian")</f>
        <v>Emalyn Gharakhanian</v>
      </c>
      <c r="C828" s="189">
        <f ca="1">IFERROR(__xludf.DUMMYFUNCTION("""COMPUTED_VALUE"""),9)</f>
        <v>9</v>
      </c>
      <c r="D828" s="189" t="str">
        <f ca="1">IFERROR(__xludf.DUMMYFUNCTION("""COMPUTED_VALUE"""),"G")</f>
        <v>G</v>
      </c>
      <c r="E828" s="189" t="str">
        <f ca="1">IFERROR(__xludf.DUMMYFUNCTION("""COMPUTED_VALUE"""),"F")</f>
        <v>F</v>
      </c>
      <c r="F828" s="189" t="str">
        <f ca="1">IFERROR(__xludf.DUMMYFUNCTION("""COMPUTED_VALUE"""),"J")</f>
        <v>J</v>
      </c>
      <c r="G828" s="189">
        <f ca="1">IFERROR(__xludf.DUMMYFUNCTION("""COMPUTED_VALUE"""),2)</f>
        <v>2</v>
      </c>
      <c r="H828" s="196" t="s">
        <v>365</v>
      </c>
      <c r="I828" s="196"/>
      <c r="J828" s="196" t="s">
        <v>29</v>
      </c>
      <c r="K828" s="196"/>
      <c r="L828" s="196" t="str">
        <v xml:space="preserve"> 40.05</v>
      </c>
      <c r="M828" s="196"/>
    </row>
    <row r="829" spans="1:13" ht="14.4" x14ac:dyDescent="0.3">
      <c r="A829" s="189" t="str">
        <f ca="1">IFERROR(__xludf.DUMMYFUNCTION("""COMPUTED_VALUE"""),"HS")</f>
        <v>HS</v>
      </c>
      <c r="B829" s="195" t="str">
        <f ca="1">IFERROR(__xludf.DUMMYFUNCTION("""COMPUTED_VALUE"""),"Evie Stith")</f>
        <v>Evie Stith</v>
      </c>
      <c r="C829" s="189">
        <f ca="1">IFERROR(__xludf.DUMMYFUNCTION("""COMPUTED_VALUE"""),8)</f>
        <v>8</v>
      </c>
      <c r="D829" s="189" t="str">
        <f ca="1">IFERROR(__xludf.DUMMYFUNCTION("""COMPUTED_VALUE"""),"G")</f>
        <v>G</v>
      </c>
      <c r="E829" s="189" t="str">
        <f ca="1">IFERROR(__xludf.DUMMYFUNCTION("""COMPUTED_VALUE"""),"F")</f>
        <v>F</v>
      </c>
      <c r="F829" s="189" t="str">
        <f ca="1">IFERROR(__xludf.DUMMYFUNCTION("""COMPUTED_VALUE"""),"J")</f>
        <v>J</v>
      </c>
      <c r="G829" s="189">
        <f ca="1">IFERROR(__xludf.DUMMYFUNCTION("""COMPUTED_VALUE"""),2)</f>
        <v>2</v>
      </c>
      <c r="H829" s="196"/>
      <c r="I829" s="196"/>
      <c r="J829" s="196"/>
      <c r="K829" s="196"/>
      <c r="L829" s="196" t="str">
        <v/>
      </c>
      <c r="M829" s="196"/>
    </row>
    <row r="830" spans="1:13" ht="14.4" x14ac:dyDescent="0.3">
      <c r="A830" s="189" t="str">
        <f ca="1">IFERROR(__xludf.DUMMYFUNCTION("""COMPUTED_VALUE"""),"HS")</f>
        <v>HS</v>
      </c>
      <c r="B830" s="195" t="str">
        <f ca="1">IFERROR(__xludf.DUMMYFUNCTION("""COMPUTED_VALUE"""),"Gracie Weide")</f>
        <v>Gracie Weide</v>
      </c>
      <c r="C830" s="189">
        <f ca="1">IFERROR(__xludf.DUMMYFUNCTION("""COMPUTED_VALUE"""),8)</f>
        <v>8</v>
      </c>
      <c r="D830" s="189" t="str">
        <f ca="1">IFERROR(__xludf.DUMMYFUNCTION("""COMPUTED_VALUE"""),"G")</f>
        <v>G</v>
      </c>
      <c r="E830" s="189" t="str">
        <f ca="1">IFERROR(__xludf.DUMMYFUNCTION("""COMPUTED_VALUE"""),"F")</f>
        <v>F</v>
      </c>
      <c r="F830" s="189" t="str">
        <f ca="1">IFERROR(__xludf.DUMMYFUNCTION("""COMPUTED_VALUE"""),"J")</f>
        <v>J</v>
      </c>
      <c r="G830" s="189">
        <f ca="1">IFERROR(__xludf.DUMMYFUNCTION("""COMPUTED_VALUE"""),2)</f>
        <v>2</v>
      </c>
      <c r="H830" s="196" t="s">
        <v>366</v>
      </c>
      <c r="I830" s="196"/>
      <c r="J830" s="196" t="s">
        <v>29</v>
      </c>
      <c r="K830" s="196"/>
      <c r="L830" s="196" t="str">
        <v xml:space="preserve"> 57.35</v>
      </c>
      <c r="M830" s="196"/>
    </row>
    <row r="831" spans="1:13" ht="14.4" x14ac:dyDescent="0.3">
      <c r="A831" s="189" t="str">
        <f ca="1">IFERROR(__xludf.DUMMYFUNCTION("""COMPUTED_VALUE"""),"HS")</f>
        <v>HS</v>
      </c>
      <c r="B831" s="195" t="str">
        <f ca="1">IFERROR(__xludf.DUMMYFUNCTION("""COMPUTED_VALUE"""),"Ivy Rasmussen")</f>
        <v>Ivy Rasmussen</v>
      </c>
      <c r="C831" s="189">
        <f ca="1">IFERROR(__xludf.DUMMYFUNCTION("""COMPUTED_VALUE"""),10)</f>
        <v>10</v>
      </c>
      <c r="D831" s="189" t="str">
        <f ca="1">IFERROR(__xludf.DUMMYFUNCTION("""COMPUTED_VALUE"""),"G")</f>
        <v>G</v>
      </c>
      <c r="E831" s="189" t="str">
        <f ca="1">IFERROR(__xludf.DUMMYFUNCTION("""COMPUTED_VALUE"""),"F")</f>
        <v>F</v>
      </c>
      <c r="F831" s="189" t="str">
        <f ca="1">IFERROR(__xludf.DUMMYFUNCTION("""COMPUTED_VALUE"""),"J")</f>
        <v>J</v>
      </c>
      <c r="G831" s="189">
        <f ca="1">IFERROR(__xludf.DUMMYFUNCTION("""COMPUTED_VALUE"""),2)</f>
        <v>2</v>
      </c>
      <c r="H831" s="196"/>
      <c r="I831" s="196"/>
      <c r="J831" s="196"/>
      <c r="K831" s="196"/>
      <c r="L831" s="196" t="str">
        <v/>
      </c>
      <c r="M831" s="196"/>
    </row>
    <row r="832" spans="1:13" ht="14.4" x14ac:dyDescent="0.3">
      <c r="A832" s="189" t="str">
        <f ca="1">IFERROR(__xludf.DUMMYFUNCTION("""COMPUTED_VALUE"""),"HS")</f>
        <v>HS</v>
      </c>
      <c r="B832" s="195" t="str">
        <f ca="1">IFERROR(__xludf.DUMMYFUNCTION("""COMPUTED_VALUE"""),"Jemima Dewhirst")</f>
        <v>Jemima Dewhirst</v>
      </c>
      <c r="C832" s="189">
        <f ca="1">IFERROR(__xludf.DUMMYFUNCTION("""COMPUTED_VALUE"""),7)</f>
        <v>7</v>
      </c>
      <c r="D832" s="189" t="str">
        <f ca="1">IFERROR(__xludf.DUMMYFUNCTION("""COMPUTED_VALUE"""),"G")</f>
        <v>G</v>
      </c>
      <c r="E832" s="189" t="str">
        <f ca="1">IFERROR(__xludf.DUMMYFUNCTION("""COMPUTED_VALUE"""),"F")</f>
        <v>F</v>
      </c>
      <c r="F832" s="189" t="str">
        <f ca="1">IFERROR(__xludf.DUMMYFUNCTION("""COMPUTED_VALUE"""),"J")</f>
        <v>J</v>
      </c>
      <c r="G832" s="189">
        <f ca="1">IFERROR(__xludf.DUMMYFUNCTION("""COMPUTED_VALUE"""),2)</f>
        <v>2</v>
      </c>
      <c r="H832" s="196"/>
      <c r="I832" s="196"/>
      <c r="J832" s="196"/>
      <c r="K832" s="196"/>
      <c r="L832" s="196" t="str">
        <v/>
      </c>
      <c r="M832" s="196"/>
    </row>
    <row r="833" spans="1:13" ht="14.4" x14ac:dyDescent="0.3">
      <c r="A833" s="189" t="str">
        <f ca="1">IFERROR(__xludf.DUMMYFUNCTION("""COMPUTED_VALUE"""),"HS")</f>
        <v>HS</v>
      </c>
      <c r="B833" s="195" t="str">
        <f ca="1">IFERROR(__xludf.DUMMYFUNCTION("""COMPUTED_VALUE"""),"Lydia Weide")</f>
        <v>Lydia Weide</v>
      </c>
      <c r="C833" s="189">
        <f ca="1">IFERROR(__xludf.DUMMYFUNCTION("""COMPUTED_VALUE"""),6)</f>
        <v>6</v>
      </c>
      <c r="D833" s="189" t="str">
        <f ca="1">IFERROR(__xludf.DUMMYFUNCTION("""COMPUTED_VALUE"""),"G")</f>
        <v>G</v>
      </c>
      <c r="E833" s="189" t="str">
        <f ca="1">IFERROR(__xludf.DUMMYFUNCTION("""COMPUTED_VALUE"""),"F")</f>
        <v>F</v>
      </c>
      <c r="F833" s="189" t="str">
        <f ca="1">IFERROR(__xludf.DUMMYFUNCTION("""COMPUTED_VALUE"""),"J")</f>
        <v>J</v>
      </c>
      <c r="G833" s="189">
        <f ca="1">IFERROR(__xludf.DUMMYFUNCTION("""COMPUTED_VALUE"""),2)</f>
        <v>2</v>
      </c>
      <c r="H833" s="196"/>
      <c r="I833" s="196"/>
      <c r="J833" s="196"/>
      <c r="K833" s="196"/>
      <c r="L833" s="196" t="str">
        <v/>
      </c>
      <c r="M833" s="196"/>
    </row>
    <row r="834" spans="1:13" ht="14.4" x14ac:dyDescent="0.3">
      <c r="A834" s="189" t="str">
        <f ca="1">IFERROR(__xludf.DUMMYFUNCTION("""COMPUTED_VALUE"""),"HS")</f>
        <v>HS</v>
      </c>
      <c r="B834" s="195" t="str">
        <f ca="1">IFERROR(__xludf.DUMMYFUNCTION("""COMPUTED_VALUE"""),"Meghan Murphy")</f>
        <v>Meghan Murphy</v>
      </c>
      <c r="C834" s="189">
        <f ca="1">IFERROR(__xludf.DUMMYFUNCTION("""COMPUTED_VALUE"""),9)</f>
        <v>9</v>
      </c>
      <c r="D834" s="189" t="str">
        <f ca="1">IFERROR(__xludf.DUMMYFUNCTION("""COMPUTED_VALUE"""),"G")</f>
        <v>G</v>
      </c>
      <c r="E834" s="189" t="str">
        <f ca="1">IFERROR(__xludf.DUMMYFUNCTION("""COMPUTED_VALUE"""),"F")</f>
        <v>F</v>
      </c>
      <c r="F834" s="189" t="str">
        <f ca="1">IFERROR(__xludf.DUMMYFUNCTION("""COMPUTED_VALUE"""),"J")</f>
        <v>J</v>
      </c>
      <c r="G834" s="189">
        <f ca="1">IFERROR(__xludf.DUMMYFUNCTION("""COMPUTED_VALUE"""),2)</f>
        <v>2</v>
      </c>
      <c r="H834" s="196"/>
      <c r="I834" s="196"/>
      <c r="J834" s="196"/>
      <c r="K834" s="196"/>
      <c r="L834" s="196" t="str">
        <v/>
      </c>
      <c r="M834" s="196"/>
    </row>
    <row r="835" spans="1:13" ht="14.4" x14ac:dyDescent="0.3">
      <c r="A835" s="189" t="str">
        <f ca="1">IFERROR(__xludf.DUMMYFUNCTION("""COMPUTED_VALUE"""),"HS")</f>
        <v>HS</v>
      </c>
      <c r="B835" s="195" t="str">
        <f ca="1">IFERROR(__xludf.DUMMYFUNCTION("""COMPUTED_VALUE"""),"Vale Luks")</f>
        <v>Vale Luks</v>
      </c>
      <c r="C835" s="189">
        <f ca="1">IFERROR(__xludf.DUMMYFUNCTION("""COMPUTED_VALUE"""),7)</f>
        <v>7</v>
      </c>
      <c r="D835" s="189" t="str">
        <f ca="1">IFERROR(__xludf.DUMMYFUNCTION("""COMPUTED_VALUE"""),"G")</f>
        <v>G</v>
      </c>
      <c r="E835" s="189" t="str">
        <f ca="1">IFERROR(__xludf.DUMMYFUNCTION("""COMPUTED_VALUE"""),"F")</f>
        <v>F</v>
      </c>
      <c r="F835" s="189" t="str">
        <f ca="1">IFERROR(__xludf.DUMMYFUNCTION("""COMPUTED_VALUE"""),"J")</f>
        <v>J</v>
      </c>
      <c r="G835" s="189">
        <f ca="1">IFERROR(__xludf.DUMMYFUNCTION("""COMPUTED_VALUE"""),2)</f>
        <v>2</v>
      </c>
      <c r="H835" s="196"/>
      <c r="I835" s="196"/>
      <c r="J835" s="196"/>
      <c r="K835" s="196"/>
      <c r="L835" s="196" t="str">
        <v/>
      </c>
      <c r="M835" s="196"/>
    </row>
    <row r="836" spans="1:13" ht="14.4" x14ac:dyDescent="0.3">
      <c r="A836" s="189" t="str">
        <f ca="1">IFERROR(__xludf.DUMMYFUNCTION("""COMPUTED_VALUE"""),"HS")</f>
        <v>HS</v>
      </c>
      <c r="B836" s="195" t="str">
        <f ca="1">IFERROR(__xludf.DUMMYFUNCTION("""COMPUTED_VALUE"""),"Andrew Zemek")</f>
        <v>Andrew Zemek</v>
      </c>
      <c r="C836" s="189">
        <f ca="1">IFERROR(__xludf.DUMMYFUNCTION("""COMPUTED_VALUE"""),9)</f>
        <v>9</v>
      </c>
      <c r="D836" s="189" t="str">
        <f ca="1">IFERROR(__xludf.DUMMYFUNCTION("""COMPUTED_VALUE"""),"B")</f>
        <v>B</v>
      </c>
      <c r="E836" s="189" t="str">
        <f ca="1">IFERROR(__xludf.DUMMYFUNCTION("""COMPUTED_VALUE"""),"F")</f>
        <v>F</v>
      </c>
      <c r="F836" s="189" t="str">
        <f ca="1">IFERROR(__xludf.DUMMYFUNCTION("""COMPUTED_VALUE"""),"J")</f>
        <v>J</v>
      </c>
      <c r="G836" s="189">
        <f ca="1">IFERROR(__xludf.DUMMYFUNCTION("""COMPUTED_VALUE"""),2)</f>
        <v>2</v>
      </c>
      <c r="H836" s="196"/>
      <c r="I836" s="196"/>
      <c r="J836" s="196"/>
      <c r="K836" s="196"/>
      <c r="L836" s="196" t="str">
        <v/>
      </c>
      <c r="M836" s="196"/>
    </row>
    <row r="837" spans="1:13" ht="14.4" x14ac:dyDescent="0.3">
      <c r="A837" s="189" t="str">
        <f ca="1">IFERROR(__xludf.DUMMYFUNCTION("""COMPUTED_VALUE"""),"HS")</f>
        <v>HS</v>
      </c>
      <c r="B837" s="195" t="str">
        <f ca="1">IFERROR(__xludf.DUMMYFUNCTION("""COMPUTED_VALUE"""),"Carter Huey")</f>
        <v>Carter Huey</v>
      </c>
      <c r="C837" s="189">
        <f ca="1">IFERROR(__xludf.DUMMYFUNCTION("""COMPUTED_VALUE"""),10)</f>
        <v>10</v>
      </c>
      <c r="D837" s="189" t="str">
        <f ca="1">IFERROR(__xludf.DUMMYFUNCTION("""COMPUTED_VALUE"""),"B")</f>
        <v>B</v>
      </c>
      <c r="E837" s="189" t="str">
        <f ca="1">IFERROR(__xludf.DUMMYFUNCTION("""COMPUTED_VALUE"""),"F")</f>
        <v>F</v>
      </c>
      <c r="F837" s="189" t="str">
        <f ca="1">IFERROR(__xludf.DUMMYFUNCTION("""COMPUTED_VALUE"""),"J")</f>
        <v>J</v>
      </c>
      <c r="G837" s="189">
        <f ca="1">IFERROR(__xludf.DUMMYFUNCTION("""COMPUTED_VALUE"""),2)</f>
        <v>2</v>
      </c>
      <c r="H837" s="196"/>
      <c r="I837" s="196"/>
      <c r="J837" s="196"/>
      <c r="K837" s="196"/>
      <c r="L837" s="196" t="str">
        <v/>
      </c>
      <c r="M837" s="196"/>
    </row>
    <row r="838" spans="1:13" ht="14.4" x14ac:dyDescent="0.3">
      <c r="A838" s="189" t="str">
        <f ca="1">IFERROR(__xludf.DUMMYFUNCTION("""COMPUTED_VALUE"""),"HS")</f>
        <v>HS</v>
      </c>
      <c r="B838" s="195" t="str">
        <f ca="1">IFERROR(__xludf.DUMMYFUNCTION("""COMPUTED_VALUE"""),"CJ Swemba")</f>
        <v>CJ Swemba</v>
      </c>
      <c r="C838" s="189">
        <f ca="1">IFERROR(__xludf.DUMMYFUNCTION("""COMPUTED_VALUE"""),10)</f>
        <v>10</v>
      </c>
      <c r="D838" s="189" t="str">
        <f ca="1">IFERROR(__xludf.DUMMYFUNCTION("""COMPUTED_VALUE"""),"B")</f>
        <v>B</v>
      </c>
      <c r="E838" s="189" t="str">
        <f ca="1">IFERROR(__xludf.DUMMYFUNCTION("""COMPUTED_VALUE"""),"F")</f>
        <v>F</v>
      </c>
      <c r="F838" s="189" t="str">
        <f ca="1">IFERROR(__xludf.DUMMYFUNCTION("""COMPUTED_VALUE"""),"J")</f>
        <v>J</v>
      </c>
      <c r="G838" s="189">
        <f ca="1">IFERROR(__xludf.DUMMYFUNCTION("""COMPUTED_VALUE"""),2)</f>
        <v>2</v>
      </c>
      <c r="H838" s="196" t="s">
        <v>367</v>
      </c>
      <c r="I838" s="196"/>
      <c r="J838" s="196" t="s">
        <v>29</v>
      </c>
      <c r="K838" s="196"/>
      <c r="L838" s="196" t="str">
        <v xml:space="preserve"> 52.85</v>
      </c>
      <c r="M838" s="196"/>
    </row>
    <row r="839" spans="1:13" ht="14.4" x14ac:dyDescent="0.3">
      <c r="A839" s="189" t="str">
        <f ca="1">IFERROR(__xludf.DUMMYFUNCTION("""COMPUTED_VALUE"""),"HS")</f>
        <v>HS</v>
      </c>
      <c r="B839" s="195" t="str">
        <f ca="1">IFERROR(__xludf.DUMMYFUNCTION("""COMPUTED_VALUE"""),"Evan Chen")</f>
        <v>Evan Chen</v>
      </c>
      <c r="C839" s="189">
        <f ca="1">IFERROR(__xludf.DUMMYFUNCTION("""COMPUTED_VALUE"""),6)</f>
        <v>6</v>
      </c>
      <c r="D839" s="189" t="str">
        <f ca="1">IFERROR(__xludf.DUMMYFUNCTION("""COMPUTED_VALUE"""),"B")</f>
        <v>B</v>
      </c>
      <c r="E839" s="189" t="str">
        <f ca="1">IFERROR(__xludf.DUMMYFUNCTION("""COMPUTED_VALUE"""),"F")</f>
        <v>F</v>
      </c>
      <c r="F839" s="189" t="str">
        <f ca="1">IFERROR(__xludf.DUMMYFUNCTION("""COMPUTED_VALUE"""),"J")</f>
        <v>J</v>
      </c>
      <c r="G839" s="189">
        <f ca="1">IFERROR(__xludf.DUMMYFUNCTION("""COMPUTED_VALUE"""),2)</f>
        <v>2</v>
      </c>
      <c r="H839" s="196"/>
      <c r="I839" s="196"/>
      <c r="J839" s="196"/>
      <c r="K839" s="196"/>
      <c r="L839" s="196" t="str">
        <v/>
      </c>
      <c r="M839" s="196"/>
    </row>
    <row r="840" spans="1:13" ht="14.4" x14ac:dyDescent="0.3">
      <c r="A840" s="189" t="str">
        <f ca="1">IFERROR(__xludf.DUMMYFUNCTION("""COMPUTED_VALUE"""),"HS")</f>
        <v>HS</v>
      </c>
      <c r="B840" s="195" t="str">
        <f ca="1">IFERROR(__xludf.DUMMYFUNCTION("""COMPUTED_VALUE"""),"George Janicke")</f>
        <v>George Janicke</v>
      </c>
      <c r="C840" s="189">
        <f ca="1">IFERROR(__xludf.DUMMYFUNCTION("""COMPUTED_VALUE"""),9)</f>
        <v>9</v>
      </c>
      <c r="D840" s="189" t="str">
        <f ca="1">IFERROR(__xludf.DUMMYFUNCTION("""COMPUTED_VALUE"""),"B")</f>
        <v>B</v>
      </c>
      <c r="E840" s="189" t="str">
        <f ca="1">IFERROR(__xludf.DUMMYFUNCTION("""COMPUTED_VALUE"""),"F")</f>
        <v>F</v>
      </c>
      <c r="F840" s="189" t="str">
        <f ca="1">IFERROR(__xludf.DUMMYFUNCTION("""COMPUTED_VALUE"""),"J")</f>
        <v>J</v>
      </c>
      <c r="G840" s="189">
        <f ca="1">IFERROR(__xludf.DUMMYFUNCTION("""COMPUTED_VALUE"""),2)</f>
        <v>2</v>
      </c>
      <c r="H840" s="196"/>
      <c r="I840" s="196"/>
      <c r="J840" s="196"/>
      <c r="K840" s="196"/>
      <c r="L840" s="196" t="str">
        <v/>
      </c>
      <c r="M840" s="196"/>
    </row>
    <row r="841" spans="1:13" ht="14.4" x14ac:dyDescent="0.3">
      <c r="A841" s="189" t="str">
        <f ca="1">IFERROR(__xludf.DUMMYFUNCTION("""COMPUTED_VALUE"""),"HS")</f>
        <v>HS</v>
      </c>
      <c r="B841" s="195" t="str">
        <f ca="1">IFERROR(__xludf.DUMMYFUNCTION("""COMPUTED_VALUE"""),"Jeremy Chen")</f>
        <v>Jeremy Chen</v>
      </c>
      <c r="C841" s="189">
        <f ca="1">IFERROR(__xludf.DUMMYFUNCTION("""COMPUTED_VALUE"""),6)</f>
        <v>6</v>
      </c>
      <c r="D841" s="189" t="str">
        <f ca="1">IFERROR(__xludf.DUMMYFUNCTION("""COMPUTED_VALUE"""),"B")</f>
        <v>B</v>
      </c>
      <c r="E841" s="189" t="str">
        <f ca="1">IFERROR(__xludf.DUMMYFUNCTION("""COMPUTED_VALUE"""),"F")</f>
        <v>F</v>
      </c>
      <c r="F841" s="189" t="str">
        <f ca="1">IFERROR(__xludf.DUMMYFUNCTION("""COMPUTED_VALUE"""),"J")</f>
        <v>J</v>
      </c>
      <c r="G841" s="189">
        <f ca="1">IFERROR(__xludf.DUMMYFUNCTION("""COMPUTED_VALUE"""),2)</f>
        <v>2</v>
      </c>
      <c r="H841" s="196"/>
      <c r="I841" s="196"/>
      <c r="J841" s="196"/>
      <c r="K841" s="196"/>
      <c r="L841" s="196" t="str">
        <v/>
      </c>
      <c r="M841" s="196"/>
    </row>
    <row r="842" spans="1:13" ht="14.4" x14ac:dyDescent="0.3">
      <c r="A842" s="189" t="str">
        <f ca="1">IFERROR(__xludf.DUMMYFUNCTION("""COMPUTED_VALUE"""),"HS")</f>
        <v>HS</v>
      </c>
      <c r="B842" s="195" t="str">
        <f ca="1">IFERROR(__xludf.DUMMYFUNCTION("""COMPUTED_VALUE"""),"John Berik")</f>
        <v>John Berik</v>
      </c>
      <c r="C842" s="189">
        <f ca="1">IFERROR(__xludf.DUMMYFUNCTION("""COMPUTED_VALUE"""),10)</f>
        <v>10</v>
      </c>
      <c r="D842" s="189" t="str">
        <f ca="1">IFERROR(__xludf.DUMMYFUNCTION("""COMPUTED_VALUE"""),"B")</f>
        <v>B</v>
      </c>
      <c r="E842" s="189" t="str">
        <f ca="1">IFERROR(__xludf.DUMMYFUNCTION("""COMPUTED_VALUE"""),"F")</f>
        <v>F</v>
      </c>
      <c r="F842" s="189" t="str">
        <f ca="1">IFERROR(__xludf.DUMMYFUNCTION("""COMPUTED_VALUE"""),"J")</f>
        <v>J</v>
      </c>
      <c r="G842" s="189">
        <f ca="1">IFERROR(__xludf.DUMMYFUNCTION("""COMPUTED_VALUE"""),2)</f>
        <v>2</v>
      </c>
      <c r="H842" s="196" t="s">
        <v>154</v>
      </c>
      <c r="I842" s="196"/>
      <c r="J842" s="196" t="s">
        <v>29</v>
      </c>
      <c r="K842" s="196"/>
      <c r="L842" s="196" t="str">
        <v xml:space="preserve"> 87.95</v>
      </c>
      <c r="M842" s="196"/>
    </row>
    <row r="843" spans="1:13" ht="14.4" x14ac:dyDescent="0.3">
      <c r="A843" s="189" t="str">
        <f ca="1">IFERROR(__xludf.DUMMYFUNCTION("""COMPUTED_VALUE"""),"HS")</f>
        <v>HS</v>
      </c>
      <c r="B843" s="195" t="str">
        <f ca="1">IFERROR(__xludf.DUMMYFUNCTION("""COMPUTED_VALUE"""),"Nabil Senhadji")</f>
        <v>Nabil Senhadji</v>
      </c>
      <c r="C843" s="189">
        <f ca="1">IFERROR(__xludf.DUMMYFUNCTION("""COMPUTED_VALUE"""),8)</f>
        <v>8</v>
      </c>
      <c r="D843" s="189" t="str">
        <f ca="1">IFERROR(__xludf.DUMMYFUNCTION("""COMPUTED_VALUE"""),"B")</f>
        <v>B</v>
      </c>
      <c r="E843" s="189" t="str">
        <f ca="1">IFERROR(__xludf.DUMMYFUNCTION("""COMPUTED_VALUE"""),"F")</f>
        <v>F</v>
      </c>
      <c r="F843" s="189" t="str">
        <f ca="1">IFERROR(__xludf.DUMMYFUNCTION("""COMPUTED_VALUE"""),"J")</f>
        <v>J</v>
      </c>
      <c r="G843" s="189">
        <f ca="1">IFERROR(__xludf.DUMMYFUNCTION("""COMPUTED_VALUE"""),2)</f>
        <v>2</v>
      </c>
      <c r="H843" s="196"/>
      <c r="I843" s="196"/>
      <c r="J843" s="196"/>
      <c r="K843" s="196"/>
      <c r="L843" s="196" t="str">
        <v/>
      </c>
      <c r="M843" s="196"/>
    </row>
    <row r="844" spans="1:13" ht="14.4" x14ac:dyDescent="0.3">
      <c r="A844" s="189" t="str">
        <f ca="1">IFERROR(__xludf.DUMMYFUNCTION("""COMPUTED_VALUE"""),"HS")</f>
        <v>HS</v>
      </c>
      <c r="B844" s="195" t="str">
        <f ca="1">IFERROR(__xludf.DUMMYFUNCTION("""COMPUTED_VALUE"""),"Reid Bittenbender")</f>
        <v>Reid Bittenbender</v>
      </c>
      <c r="C844" s="189">
        <f ca="1">IFERROR(__xludf.DUMMYFUNCTION("""COMPUTED_VALUE"""),10)</f>
        <v>10</v>
      </c>
      <c r="D844" s="189" t="str">
        <f ca="1">IFERROR(__xludf.DUMMYFUNCTION("""COMPUTED_VALUE"""),"B")</f>
        <v>B</v>
      </c>
      <c r="E844" s="189" t="str">
        <f ca="1">IFERROR(__xludf.DUMMYFUNCTION("""COMPUTED_VALUE"""),"F")</f>
        <v>F</v>
      </c>
      <c r="F844" s="189" t="str">
        <f ca="1">IFERROR(__xludf.DUMMYFUNCTION("""COMPUTED_VALUE"""),"J")</f>
        <v>J</v>
      </c>
      <c r="G844" s="189">
        <f ca="1">IFERROR(__xludf.DUMMYFUNCTION("""COMPUTED_VALUE"""),2)</f>
        <v>2</v>
      </c>
      <c r="H844" s="196"/>
      <c r="I844" s="196"/>
      <c r="J844" s="196"/>
      <c r="K844" s="196"/>
      <c r="L844" s="196" t="str">
        <v/>
      </c>
      <c r="M844" s="196"/>
    </row>
    <row r="845" spans="1:13" ht="14.4" x14ac:dyDescent="0.3">
      <c r="A845" s="189" t="str">
        <f ca="1">IFERROR(__xludf.DUMMYFUNCTION("""COMPUTED_VALUE"""),"HS")</f>
        <v>HS</v>
      </c>
      <c r="B845" s="195" t="str">
        <f ca="1">IFERROR(__xludf.DUMMYFUNCTION("""COMPUTED_VALUE"""),"Russell Velasco")</f>
        <v>Russell Velasco</v>
      </c>
      <c r="C845" s="189">
        <f ca="1">IFERROR(__xludf.DUMMYFUNCTION("""COMPUTED_VALUE"""),6)</f>
        <v>6</v>
      </c>
      <c r="D845" s="189" t="str">
        <f ca="1">IFERROR(__xludf.DUMMYFUNCTION("""COMPUTED_VALUE"""),"B")</f>
        <v>B</v>
      </c>
      <c r="E845" s="189" t="str">
        <f ca="1">IFERROR(__xludf.DUMMYFUNCTION("""COMPUTED_VALUE"""),"F")</f>
        <v>F</v>
      </c>
      <c r="F845" s="189" t="str">
        <f ca="1">IFERROR(__xludf.DUMMYFUNCTION("""COMPUTED_VALUE"""),"J")</f>
        <v>J</v>
      </c>
      <c r="G845" s="189">
        <f ca="1">IFERROR(__xludf.DUMMYFUNCTION("""COMPUTED_VALUE"""),2)</f>
        <v>2</v>
      </c>
      <c r="H845" s="196"/>
      <c r="I845" s="196"/>
      <c r="J845" s="196"/>
      <c r="K845" s="196"/>
      <c r="L845" s="196" t="str">
        <v/>
      </c>
      <c r="M845" s="196"/>
    </row>
    <row r="846" spans="1:13" ht="14.4" x14ac:dyDescent="0.3">
      <c r="A846" s="189" t="str">
        <f ca="1">IFERROR(__xludf.DUMMYFUNCTION("""COMPUTED_VALUE"""),"HS")</f>
        <v>HS</v>
      </c>
      <c r="B846" s="195" t="str">
        <f ca="1">IFERROR(__xludf.DUMMYFUNCTION("""COMPUTED_VALUE"""),"Santiago Fredes")</f>
        <v>Santiago Fredes</v>
      </c>
      <c r="C846" s="189">
        <f ca="1">IFERROR(__xludf.DUMMYFUNCTION("""COMPUTED_VALUE"""),6)</f>
        <v>6</v>
      </c>
      <c r="D846" s="189" t="str">
        <f ca="1">IFERROR(__xludf.DUMMYFUNCTION("""COMPUTED_VALUE"""),"B")</f>
        <v>B</v>
      </c>
      <c r="E846" s="189" t="str">
        <f ca="1">IFERROR(__xludf.DUMMYFUNCTION("""COMPUTED_VALUE"""),"F")</f>
        <v>F</v>
      </c>
      <c r="F846" s="189" t="str">
        <f ca="1">IFERROR(__xludf.DUMMYFUNCTION("""COMPUTED_VALUE"""),"J")</f>
        <v>J</v>
      </c>
      <c r="G846" s="189">
        <f ca="1">IFERROR(__xludf.DUMMYFUNCTION("""COMPUTED_VALUE"""),2)</f>
        <v>2</v>
      </c>
      <c r="H846" s="196" t="s">
        <v>368</v>
      </c>
      <c r="I846" s="196"/>
      <c r="J846" s="196" t="s">
        <v>29</v>
      </c>
      <c r="K846" s="196"/>
      <c r="L846" s="196" t="str">
        <v xml:space="preserve"> 51.25</v>
      </c>
      <c r="M846" s="196"/>
    </row>
    <row r="847" spans="1:13" ht="14.4" x14ac:dyDescent="0.3">
      <c r="A847" s="189" t="str">
        <f ca="1">IFERROR(__xludf.DUMMYFUNCTION("""COMPUTED_VALUE"""),"HS")</f>
        <v>HS</v>
      </c>
      <c r="B847" s="195" t="str">
        <f ca="1">IFERROR(__xludf.DUMMYFUNCTION("""COMPUTED_VALUE"""),"Siddharth Chandran")</f>
        <v>Siddharth Chandran</v>
      </c>
      <c r="C847" s="189">
        <f ca="1">IFERROR(__xludf.DUMMYFUNCTION("""COMPUTED_VALUE"""),9)</f>
        <v>9</v>
      </c>
      <c r="D847" s="189" t="str">
        <f ca="1">IFERROR(__xludf.DUMMYFUNCTION("""COMPUTED_VALUE"""),"B")</f>
        <v>B</v>
      </c>
      <c r="E847" s="189" t="str">
        <f ca="1">IFERROR(__xludf.DUMMYFUNCTION("""COMPUTED_VALUE"""),"F")</f>
        <v>F</v>
      </c>
      <c r="F847" s="189" t="str">
        <f ca="1">IFERROR(__xludf.DUMMYFUNCTION("""COMPUTED_VALUE"""),"J")</f>
        <v>J</v>
      </c>
      <c r="G847" s="189">
        <f ca="1">IFERROR(__xludf.DUMMYFUNCTION("""COMPUTED_VALUE"""),2)</f>
        <v>2</v>
      </c>
      <c r="H847" s="196" t="s">
        <v>119</v>
      </c>
      <c r="I847" s="196"/>
      <c r="J847" s="196" t="s">
        <v>29</v>
      </c>
      <c r="K847" s="196"/>
      <c r="L847" s="196" t="str">
        <v xml:space="preserve"> 57.05</v>
      </c>
      <c r="M847" s="196"/>
    </row>
    <row r="848" spans="1:13" ht="14.4" x14ac:dyDescent="0.3">
      <c r="A848" s="189" t="str">
        <f ca="1">IFERROR(__xludf.DUMMYFUNCTION("""COMPUTED_VALUE"""),"HS")</f>
        <v>HS</v>
      </c>
      <c r="B848" s="195" t="str">
        <f ca="1">IFERROR(__xludf.DUMMYFUNCTION("""COMPUTED_VALUE"""),"Caroline Sterling")</f>
        <v>Caroline Sterling</v>
      </c>
      <c r="C848" s="189">
        <f ca="1">IFERROR(__xludf.DUMMYFUNCTION("""COMPUTED_VALUE"""),13)</f>
        <v>13</v>
      </c>
      <c r="D848" s="189" t="str">
        <f ca="1">IFERROR(__xludf.DUMMYFUNCTION("""COMPUTED_VALUE"""),"G")</f>
        <v>G</v>
      </c>
      <c r="E848" s="189" t="str">
        <f ca="1">IFERROR(__xludf.DUMMYFUNCTION("""COMPUTED_VALUE"""),"I")</f>
        <v>I</v>
      </c>
      <c r="F848" s="189" t="str">
        <f ca="1">IFERROR(__xludf.DUMMYFUNCTION("""COMPUTED_VALUE"""),"S")</f>
        <v>S</v>
      </c>
      <c r="G848" s="189">
        <f ca="1">IFERROR(__xludf.DUMMYFUNCTION("""COMPUTED_VALUE"""),2)</f>
        <v>2</v>
      </c>
      <c r="H848" s="196"/>
      <c r="I848" s="196"/>
      <c r="J848" s="196"/>
      <c r="K848" s="196"/>
      <c r="L848" s="196" t="str">
        <v/>
      </c>
      <c r="M848" s="196"/>
    </row>
    <row r="849" spans="1:13" ht="14.4" x14ac:dyDescent="0.3">
      <c r="A849" s="189" t="str">
        <f ca="1">IFERROR(__xludf.DUMMYFUNCTION("""COMPUTED_VALUE"""),"HS")</f>
        <v>HS</v>
      </c>
      <c r="B849" s="195" t="str">
        <f ca="1">IFERROR(__xludf.DUMMYFUNCTION("""COMPUTED_VALUE"""),"Emma Dewhirst")</f>
        <v>Emma Dewhirst</v>
      </c>
      <c r="C849" s="189">
        <f ca="1">IFERROR(__xludf.DUMMYFUNCTION("""COMPUTED_VALUE"""),14)</f>
        <v>14</v>
      </c>
      <c r="D849" s="189" t="str">
        <f ca="1">IFERROR(__xludf.DUMMYFUNCTION("""COMPUTED_VALUE"""),"G")</f>
        <v>G</v>
      </c>
      <c r="E849" s="189" t="str">
        <f ca="1">IFERROR(__xludf.DUMMYFUNCTION("""COMPUTED_VALUE"""),"I")</f>
        <v>I</v>
      </c>
      <c r="F849" s="189" t="str">
        <f ca="1">IFERROR(__xludf.DUMMYFUNCTION("""COMPUTED_VALUE"""),"S")</f>
        <v>S</v>
      </c>
      <c r="G849" s="189">
        <f ca="1">IFERROR(__xludf.DUMMYFUNCTION("""COMPUTED_VALUE"""),2)</f>
        <v>2</v>
      </c>
      <c r="H849" s="196" t="s">
        <v>369</v>
      </c>
      <c r="I849" s="196"/>
      <c r="J849" s="196" t="s">
        <v>29</v>
      </c>
      <c r="K849" s="196"/>
      <c r="L849" s="196" t="str">
        <v xml:space="preserve"> 98.05</v>
      </c>
      <c r="M849" s="196"/>
    </row>
    <row r="850" spans="1:13" ht="14.4" x14ac:dyDescent="0.3">
      <c r="A850" s="189" t="str">
        <f ca="1">IFERROR(__xludf.DUMMYFUNCTION("""COMPUTED_VALUE"""),"HS")</f>
        <v>HS</v>
      </c>
      <c r="B850" s="195" t="str">
        <f ca="1">IFERROR(__xludf.DUMMYFUNCTION("""COMPUTED_VALUE"""),"Emma Stadelmann")</f>
        <v>Emma Stadelmann</v>
      </c>
      <c r="C850" s="189">
        <f ca="1">IFERROR(__xludf.DUMMYFUNCTION("""COMPUTED_VALUE"""),13)</f>
        <v>13</v>
      </c>
      <c r="D850" s="189" t="str">
        <f ca="1">IFERROR(__xludf.DUMMYFUNCTION("""COMPUTED_VALUE"""),"G")</f>
        <v>G</v>
      </c>
      <c r="E850" s="189" t="str">
        <f ca="1">IFERROR(__xludf.DUMMYFUNCTION("""COMPUTED_VALUE"""),"I")</f>
        <v>I</v>
      </c>
      <c r="F850" s="189" t="str">
        <f ca="1">IFERROR(__xludf.DUMMYFUNCTION("""COMPUTED_VALUE"""),"S")</f>
        <v>S</v>
      </c>
      <c r="G850" s="189">
        <f ca="1">IFERROR(__xludf.DUMMYFUNCTION("""COMPUTED_VALUE"""),2)</f>
        <v>2</v>
      </c>
      <c r="H850" s="196" t="s">
        <v>370</v>
      </c>
      <c r="I850" s="196"/>
      <c r="J850" s="196" t="s">
        <v>29</v>
      </c>
      <c r="K850" s="196"/>
      <c r="L850" s="196" t="str">
        <v xml:space="preserve"> 102.00</v>
      </c>
      <c r="M850" s="196"/>
    </row>
    <row r="851" spans="1:13" ht="14.4" x14ac:dyDescent="0.3">
      <c r="A851" s="189" t="str">
        <f ca="1">IFERROR(__xludf.DUMMYFUNCTION("""COMPUTED_VALUE"""),"HS")</f>
        <v>HS</v>
      </c>
      <c r="B851" s="195" t="str">
        <f ca="1">IFERROR(__xludf.DUMMYFUNCTION("""COMPUTED_VALUE"""),"Nora Bogacki")</f>
        <v>Nora Bogacki</v>
      </c>
      <c r="C851" s="189">
        <f ca="1">IFERROR(__xludf.DUMMYFUNCTION("""COMPUTED_VALUE"""),14)</f>
        <v>14</v>
      </c>
      <c r="D851" s="189" t="str">
        <f ca="1">IFERROR(__xludf.DUMMYFUNCTION("""COMPUTED_VALUE"""),"G")</f>
        <v>G</v>
      </c>
      <c r="E851" s="189" t="str">
        <f ca="1">IFERROR(__xludf.DUMMYFUNCTION("""COMPUTED_VALUE"""),"I")</f>
        <v>I</v>
      </c>
      <c r="F851" s="189" t="str">
        <f ca="1">IFERROR(__xludf.DUMMYFUNCTION("""COMPUTED_VALUE"""),"S")</f>
        <v>S</v>
      </c>
      <c r="G851" s="189">
        <f ca="1">IFERROR(__xludf.DUMMYFUNCTION("""COMPUTED_VALUE"""),2)</f>
        <v>2</v>
      </c>
      <c r="H851" s="196" t="s">
        <v>371</v>
      </c>
      <c r="I851" s="196"/>
      <c r="J851" s="196" t="s">
        <v>29</v>
      </c>
      <c r="K851" s="196"/>
      <c r="L851" s="196" t="str">
        <v xml:space="preserve"> 78.40</v>
      </c>
      <c r="M851" s="196"/>
    </row>
    <row r="852" spans="1:13" ht="14.4" x14ac:dyDescent="0.3">
      <c r="A852" s="189" t="str">
        <f ca="1">IFERROR(__xludf.DUMMYFUNCTION("""COMPUTED_VALUE"""),"HS")</f>
        <v>HS</v>
      </c>
      <c r="B852" s="195" t="str">
        <f ca="1">IFERROR(__xludf.DUMMYFUNCTION("""COMPUTED_VALUE"""),"Olivia Berik")</f>
        <v>Olivia Berik</v>
      </c>
      <c r="C852" s="189">
        <f ca="1">IFERROR(__xludf.DUMMYFUNCTION("""COMPUTED_VALUE"""),13)</f>
        <v>13</v>
      </c>
      <c r="D852" s="189" t="str">
        <f ca="1">IFERROR(__xludf.DUMMYFUNCTION("""COMPUTED_VALUE"""),"G")</f>
        <v>G</v>
      </c>
      <c r="E852" s="189" t="str">
        <f ca="1">IFERROR(__xludf.DUMMYFUNCTION("""COMPUTED_VALUE"""),"I")</f>
        <v>I</v>
      </c>
      <c r="F852" s="189" t="str">
        <f ca="1">IFERROR(__xludf.DUMMYFUNCTION("""COMPUTED_VALUE"""),"S")</f>
        <v>S</v>
      </c>
      <c r="G852" s="189">
        <f ca="1">IFERROR(__xludf.DUMMYFUNCTION("""COMPUTED_VALUE"""),2)</f>
        <v>2</v>
      </c>
      <c r="H852" s="196" t="s">
        <v>372</v>
      </c>
      <c r="I852" s="196"/>
      <c r="J852" s="196" t="s">
        <v>29</v>
      </c>
      <c r="K852" s="196"/>
      <c r="L852" s="196" t="str">
        <v xml:space="preserve"> 139.45</v>
      </c>
      <c r="M852" s="196"/>
    </row>
    <row r="853" spans="1:13" ht="14.4" x14ac:dyDescent="0.3">
      <c r="A853" s="189" t="str">
        <f ca="1">IFERROR(__xludf.DUMMYFUNCTION("""COMPUTED_VALUE"""),"HS")</f>
        <v>HS</v>
      </c>
      <c r="B853" s="195" t="str">
        <f ca="1">IFERROR(__xludf.DUMMYFUNCTION("""COMPUTED_VALUE"""),"Sophie Bittenbender")</f>
        <v>Sophie Bittenbender</v>
      </c>
      <c r="C853" s="189">
        <f ca="1">IFERROR(__xludf.DUMMYFUNCTION("""COMPUTED_VALUE"""),13)</f>
        <v>13</v>
      </c>
      <c r="D853" s="189" t="str">
        <f ca="1">IFERROR(__xludf.DUMMYFUNCTION("""COMPUTED_VALUE"""),"G")</f>
        <v>G</v>
      </c>
      <c r="E853" s="189" t="str">
        <f ca="1">IFERROR(__xludf.DUMMYFUNCTION("""COMPUTED_VALUE"""),"I")</f>
        <v>I</v>
      </c>
      <c r="F853" s="189" t="str">
        <f ca="1">IFERROR(__xludf.DUMMYFUNCTION("""COMPUTED_VALUE"""),"S")</f>
        <v>S</v>
      </c>
      <c r="G853" s="189">
        <f ca="1">IFERROR(__xludf.DUMMYFUNCTION("""COMPUTED_VALUE"""),2)</f>
        <v>2</v>
      </c>
      <c r="H853" s="196"/>
      <c r="I853" s="196"/>
      <c r="J853" s="196"/>
      <c r="K853" s="196"/>
      <c r="L853" s="196" t="str">
        <v/>
      </c>
      <c r="M853" s="196"/>
    </row>
    <row r="854" spans="1:13" ht="14.4" x14ac:dyDescent="0.3">
      <c r="A854" s="189" t="str">
        <f ca="1">IFERROR(__xludf.DUMMYFUNCTION("""COMPUTED_VALUE"""),"HS")</f>
        <v>HS</v>
      </c>
      <c r="B854" s="195" t="str">
        <f ca="1">IFERROR(__xludf.DUMMYFUNCTION("""COMPUTED_VALUE"""),"Aiden Kapoor")</f>
        <v>Aiden Kapoor</v>
      </c>
      <c r="C854" s="189">
        <f ca="1">IFERROR(__xludf.DUMMYFUNCTION("""COMPUTED_VALUE"""),13)</f>
        <v>13</v>
      </c>
      <c r="D854" s="189" t="str">
        <f ca="1">IFERROR(__xludf.DUMMYFUNCTION("""COMPUTED_VALUE"""),"B")</f>
        <v>B</v>
      </c>
      <c r="E854" s="189" t="str">
        <f ca="1">IFERROR(__xludf.DUMMYFUNCTION("""COMPUTED_VALUE"""),"I")</f>
        <v>I</v>
      </c>
      <c r="F854" s="189" t="str">
        <f ca="1">IFERROR(__xludf.DUMMYFUNCTION("""COMPUTED_VALUE"""),"S")</f>
        <v>S</v>
      </c>
      <c r="G854" s="189">
        <f ca="1">IFERROR(__xludf.DUMMYFUNCTION("""COMPUTED_VALUE"""),2)</f>
        <v>2</v>
      </c>
      <c r="H854" s="196"/>
      <c r="I854" s="196"/>
      <c r="J854" s="196"/>
      <c r="K854" s="196"/>
      <c r="L854" s="196" t="str">
        <v/>
      </c>
      <c r="M854" s="196"/>
    </row>
    <row r="855" spans="1:13" ht="14.4" x14ac:dyDescent="0.3">
      <c r="A855" s="189" t="str">
        <f ca="1">IFERROR(__xludf.DUMMYFUNCTION("""COMPUTED_VALUE"""),"HS")</f>
        <v>HS</v>
      </c>
      <c r="B855" s="195" t="str">
        <f ca="1">IFERROR(__xludf.DUMMYFUNCTION("""COMPUTED_VALUE"""),"Beau Lochmann")</f>
        <v>Beau Lochmann</v>
      </c>
      <c r="C855" s="189">
        <f ca="1">IFERROR(__xludf.DUMMYFUNCTION("""COMPUTED_VALUE"""),13)</f>
        <v>13</v>
      </c>
      <c r="D855" s="189" t="str">
        <f ca="1">IFERROR(__xludf.DUMMYFUNCTION("""COMPUTED_VALUE"""),"B")</f>
        <v>B</v>
      </c>
      <c r="E855" s="189" t="str">
        <f ca="1">IFERROR(__xludf.DUMMYFUNCTION("""COMPUTED_VALUE"""),"I")</f>
        <v>I</v>
      </c>
      <c r="F855" s="189" t="str">
        <f ca="1">IFERROR(__xludf.DUMMYFUNCTION("""COMPUTED_VALUE"""),"S")</f>
        <v>S</v>
      </c>
      <c r="G855" s="189">
        <f ca="1">IFERROR(__xludf.DUMMYFUNCTION("""COMPUTED_VALUE"""),2)</f>
        <v>2</v>
      </c>
      <c r="H855" s="196" t="s">
        <v>96</v>
      </c>
      <c r="I855" s="196"/>
      <c r="J855" s="196" t="s">
        <v>29</v>
      </c>
      <c r="K855" s="196"/>
      <c r="L855" s="196" t="str">
        <v xml:space="preserve"> 57.95</v>
      </c>
      <c r="M855" s="196"/>
    </row>
    <row r="856" spans="1:13" ht="14.4" x14ac:dyDescent="0.3">
      <c r="A856" s="189" t="str">
        <f ca="1">IFERROR(__xludf.DUMMYFUNCTION("""COMPUTED_VALUE"""),"HS")</f>
        <v>HS</v>
      </c>
      <c r="B856" s="195" t="str">
        <f ca="1">IFERROR(__xludf.DUMMYFUNCTION("""COMPUTED_VALUE"""),"James Chen")</f>
        <v>James Chen</v>
      </c>
      <c r="C856" s="189">
        <f ca="1">IFERROR(__xludf.DUMMYFUNCTION("""COMPUTED_VALUE"""),14)</f>
        <v>14</v>
      </c>
      <c r="D856" s="189" t="str">
        <f ca="1">IFERROR(__xludf.DUMMYFUNCTION("""COMPUTED_VALUE"""),"B")</f>
        <v>B</v>
      </c>
      <c r="E856" s="189" t="str">
        <f ca="1">IFERROR(__xludf.DUMMYFUNCTION("""COMPUTED_VALUE"""),"I")</f>
        <v>I</v>
      </c>
      <c r="F856" s="189" t="str">
        <f ca="1">IFERROR(__xludf.DUMMYFUNCTION("""COMPUTED_VALUE"""),"S")</f>
        <v>S</v>
      </c>
      <c r="G856" s="189">
        <f ca="1">IFERROR(__xludf.DUMMYFUNCTION("""COMPUTED_VALUE"""),2)</f>
        <v>2</v>
      </c>
      <c r="H856" s="196" t="s">
        <v>373</v>
      </c>
      <c r="I856" s="196"/>
      <c r="J856" s="196" t="s">
        <v>29</v>
      </c>
      <c r="K856" s="196"/>
      <c r="L856" s="196" t="str">
        <v xml:space="preserve"> 89.80</v>
      </c>
      <c r="M856" s="196"/>
    </row>
    <row r="857" spans="1:13" ht="14.4" x14ac:dyDescent="0.3">
      <c r="A857" s="189" t="str">
        <f ca="1">IFERROR(__xludf.DUMMYFUNCTION("""COMPUTED_VALUE"""),"HS")</f>
        <v>HS</v>
      </c>
      <c r="B857" s="195" t="str">
        <f ca="1">IFERROR(__xludf.DUMMYFUNCTION("""COMPUTED_VALUE"""),"Trent Hooton")</f>
        <v>Trent Hooton</v>
      </c>
      <c r="C857" s="189">
        <f ca="1">IFERROR(__xludf.DUMMYFUNCTION("""COMPUTED_VALUE"""),14)</f>
        <v>14</v>
      </c>
      <c r="D857" s="189" t="str">
        <f ca="1">IFERROR(__xludf.DUMMYFUNCTION("""COMPUTED_VALUE"""),"B")</f>
        <v>B</v>
      </c>
      <c r="E857" s="189" t="str">
        <f ca="1">IFERROR(__xludf.DUMMYFUNCTION("""COMPUTED_VALUE"""),"I")</f>
        <v>I</v>
      </c>
      <c r="F857" s="189" t="str">
        <f ca="1">IFERROR(__xludf.DUMMYFUNCTION("""COMPUTED_VALUE"""),"S")</f>
        <v>S</v>
      </c>
      <c r="G857" s="189">
        <f ca="1">IFERROR(__xludf.DUMMYFUNCTION("""COMPUTED_VALUE"""),2)</f>
        <v>2</v>
      </c>
      <c r="H857" s="196" t="s">
        <v>374</v>
      </c>
      <c r="I857" s="196"/>
      <c r="J857" s="196" t="s">
        <v>29</v>
      </c>
      <c r="K857" s="196"/>
      <c r="L857" s="196" t="str">
        <v xml:space="preserve"> 132.40</v>
      </c>
      <c r="M857" s="196"/>
    </row>
    <row r="858" spans="1:13" ht="14.4" x14ac:dyDescent="0.3">
      <c r="A858" s="189" t="str">
        <f ca="1">IFERROR(__xludf.DUMMYFUNCTION("""COMPUTED_VALUE"""),"HS")</f>
        <v>HS</v>
      </c>
      <c r="B858" s="195" t="str">
        <f ca="1">IFERROR(__xludf.DUMMYFUNCTION("""COMPUTED_VALUE"""),"Emilia Vayra")</f>
        <v>Emilia Vayra</v>
      </c>
      <c r="C858" s="189">
        <f ca="1">IFERROR(__xludf.DUMMYFUNCTION("""COMPUTED_VALUE"""),12)</f>
        <v>12</v>
      </c>
      <c r="D858" s="189" t="str">
        <f ca="1">IFERROR(__xludf.DUMMYFUNCTION("""COMPUTED_VALUE"""),"G")</f>
        <v>G</v>
      </c>
      <c r="E858" s="189" t="str">
        <f ca="1">IFERROR(__xludf.DUMMYFUNCTION("""COMPUTED_VALUE"""),"J")</f>
        <v>J</v>
      </c>
      <c r="F858" s="189" t="str">
        <f ca="1">IFERROR(__xludf.DUMMYFUNCTION("""COMPUTED_VALUE"""),"I")</f>
        <v>I</v>
      </c>
      <c r="G858" s="189">
        <f ca="1">IFERROR(__xludf.DUMMYFUNCTION("""COMPUTED_VALUE"""),2)</f>
        <v>2</v>
      </c>
      <c r="H858" s="196" t="s">
        <v>358</v>
      </c>
      <c r="I858" s="196"/>
      <c r="J858" s="196" t="s">
        <v>29</v>
      </c>
      <c r="K858" s="196"/>
      <c r="L858" s="196" t="str">
        <v xml:space="preserve"> 89.25</v>
      </c>
      <c r="M858" s="196"/>
    </row>
    <row r="859" spans="1:13" ht="14.4" x14ac:dyDescent="0.3">
      <c r="A859" s="189" t="str">
        <f ca="1">IFERROR(__xludf.DUMMYFUNCTION("""COMPUTED_VALUE"""),"HS")</f>
        <v>HS</v>
      </c>
      <c r="B859" s="195" t="str">
        <f ca="1">IFERROR(__xludf.DUMMYFUNCTION("""COMPUTED_VALUE"""),"Emily Flach")</f>
        <v>Emily Flach</v>
      </c>
      <c r="C859" s="189">
        <f ca="1">IFERROR(__xludf.DUMMYFUNCTION("""COMPUTED_VALUE"""),11)</f>
        <v>11</v>
      </c>
      <c r="D859" s="189" t="str">
        <f ca="1">IFERROR(__xludf.DUMMYFUNCTION("""COMPUTED_VALUE"""),"G")</f>
        <v>G</v>
      </c>
      <c r="E859" s="189" t="str">
        <f ca="1">IFERROR(__xludf.DUMMYFUNCTION("""COMPUTED_VALUE"""),"J")</f>
        <v>J</v>
      </c>
      <c r="F859" s="189" t="str">
        <f ca="1">IFERROR(__xludf.DUMMYFUNCTION("""COMPUTED_VALUE"""),"I")</f>
        <v>I</v>
      </c>
      <c r="G859" s="189">
        <f ca="1">IFERROR(__xludf.DUMMYFUNCTION("""COMPUTED_VALUE"""),2)</f>
        <v>2</v>
      </c>
      <c r="H859" s="196"/>
      <c r="I859" s="196"/>
      <c r="J859" s="196"/>
      <c r="K859" s="196"/>
      <c r="L859" s="196" t="str">
        <v/>
      </c>
      <c r="M859" s="196"/>
    </row>
    <row r="860" spans="1:13" ht="14.4" x14ac:dyDescent="0.3">
      <c r="A860" s="189" t="str">
        <f ca="1">IFERROR(__xludf.DUMMYFUNCTION("""COMPUTED_VALUE"""),"HS")</f>
        <v>HS</v>
      </c>
      <c r="B860" s="195" t="str">
        <f ca="1">IFERROR(__xludf.DUMMYFUNCTION("""COMPUTED_VALUE"""),"Emme Bryce")</f>
        <v>Emme Bryce</v>
      </c>
      <c r="C860" s="189">
        <f ca="1">IFERROR(__xludf.DUMMYFUNCTION("""COMPUTED_VALUE"""),11)</f>
        <v>11</v>
      </c>
      <c r="D860" s="189" t="str">
        <f ca="1">IFERROR(__xludf.DUMMYFUNCTION("""COMPUTED_VALUE"""),"G")</f>
        <v>G</v>
      </c>
      <c r="E860" s="189" t="str">
        <f ca="1">IFERROR(__xludf.DUMMYFUNCTION("""COMPUTED_VALUE"""),"J")</f>
        <v>J</v>
      </c>
      <c r="F860" s="189" t="str">
        <f ca="1">IFERROR(__xludf.DUMMYFUNCTION("""COMPUTED_VALUE"""),"I")</f>
        <v>I</v>
      </c>
      <c r="G860" s="189">
        <f ca="1">IFERROR(__xludf.DUMMYFUNCTION("""COMPUTED_VALUE"""),2)</f>
        <v>2</v>
      </c>
      <c r="H860" s="196" t="s">
        <v>375</v>
      </c>
      <c r="I860" s="196"/>
      <c r="J860" s="196" t="s">
        <v>29</v>
      </c>
      <c r="K860" s="196"/>
      <c r="L860" s="196" t="str">
        <v xml:space="preserve"> 72.00</v>
      </c>
      <c r="M860" s="196"/>
    </row>
    <row r="861" spans="1:13" ht="14.4" x14ac:dyDescent="0.3">
      <c r="A861" s="189" t="str">
        <f ca="1">IFERROR(__xludf.DUMMYFUNCTION("""COMPUTED_VALUE"""),"HS")</f>
        <v>HS</v>
      </c>
      <c r="B861" s="195" t="str">
        <f ca="1">IFERROR(__xludf.DUMMYFUNCTION("""COMPUTED_VALUE"""),"Esther Dewhirst")</f>
        <v>Esther Dewhirst</v>
      </c>
      <c r="C861" s="189">
        <f ca="1">IFERROR(__xludf.DUMMYFUNCTION("""COMPUTED_VALUE"""),11)</f>
        <v>11</v>
      </c>
      <c r="D861" s="189" t="str">
        <f ca="1">IFERROR(__xludf.DUMMYFUNCTION("""COMPUTED_VALUE"""),"G")</f>
        <v>G</v>
      </c>
      <c r="E861" s="189" t="str">
        <f ca="1">IFERROR(__xludf.DUMMYFUNCTION("""COMPUTED_VALUE"""),"J")</f>
        <v>J</v>
      </c>
      <c r="F861" s="189" t="str">
        <f ca="1">IFERROR(__xludf.DUMMYFUNCTION("""COMPUTED_VALUE"""),"I")</f>
        <v>I</v>
      </c>
      <c r="G861" s="189">
        <f ca="1">IFERROR(__xludf.DUMMYFUNCTION("""COMPUTED_VALUE"""),2)</f>
        <v>2</v>
      </c>
      <c r="H861" s="196" t="s">
        <v>376</v>
      </c>
      <c r="I861" s="196"/>
      <c r="J861" s="196" t="s">
        <v>29</v>
      </c>
      <c r="K861" s="196"/>
      <c r="L861" s="196" t="str">
        <v xml:space="preserve"> 59.45</v>
      </c>
      <c r="M861" s="196"/>
    </row>
    <row r="862" spans="1:13" ht="14.4" x14ac:dyDescent="0.3">
      <c r="A862" s="189" t="str">
        <f ca="1">IFERROR(__xludf.DUMMYFUNCTION("""COMPUTED_VALUE"""),"HS")</f>
        <v>HS</v>
      </c>
      <c r="B862" s="195" t="str">
        <f ca="1">IFERROR(__xludf.DUMMYFUNCTION("""COMPUTED_VALUE"""),"Jackie Shaw")</f>
        <v>Jackie Shaw</v>
      </c>
      <c r="C862" s="189">
        <f ca="1">IFERROR(__xludf.DUMMYFUNCTION("""COMPUTED_VALUE"""),11)</f>
        <v>11</v>
      </c>
      <c r="D862" s="189" t="str">
        <f ca="1">IFERROR(__xludf.DUMMYFUNCTION("""COMPUTED_VALUE"""),"G")</f>
        <v>G</v>
      </c>
      <c r="E862" s="189" t="str">
        <f ca="1">IFERROR(__xludf.DUMMYFUNCTION("""COMPUTED_VALUE"""),"J")</f>
        <v>J</v>
      </c>
      <c r="F862" s="189" t="str">
        <f ca="1">IFERROR(__xludf.DUMMYFUNCTION("""COMPUTED_VALUE"""),"I")</f>
        <v>I</v>
      </c>
      <c r="G862" s="189">
        <f ca="1">IFERROR(__xludf.DUMMYFUNCTION("""COMPUTED_VALUE"""),2)</f>
        <v>2</v>
      </c>
      <c r="H862" s="196" t="s">
        <v>164</v>
      </c>
      <c r="I862" s="196"/>
      <c r="J862" s="196" t="s">
        <v>29</v>
      </c>
      <c r="K862" s="196"/>
      <c r="L862" s="196" t="str">
        <v xml:space="preserve"> 53.25</v>
      </c>
      <c r="M862" s="196"/>
    </row>
    <row r="863" spans="1:13" ht="14.4" x14ac:dyDescent="0.3">
      <c r="A863" s="189" t="str">
        <f ca="1">IFERROR(__xludf.DUMMYFUNCTION("""COMPUTED_VALUE"""),"HS")</f>
        <v>HS</v>
      </c>
      <c r="B863" s="195" t="str">
        <f ca="1">IFERROR(__xludf.DUMMYFUNCTION("""COMPUTED_VALUE"""),"Julia Paukovits")</f>
        <v>Julia Paukovits</v>
      </c>
      <c r="C863" s="189">
        <f ca="1">IFERROR(__xludf.DUMMYFUNCTION("""COMPUTED_VALUE"""),12)</f>
        <v>12</v>
      </c>
      <c r="D863" s="189" t="str">
        <f ca="1">IFERROR(__xludf.DUMMYFUNCTION("""COMPUTED_VALUE"""),"G")</f>
        <v>G</v>
      </c>
      <c r="E863" s="189" t="str">
        <f ca="1">IFERROR(__xludf.DUMMYFUNCTION("""COMPUTED_VALUE"""),"J")</f>
        <v>J</v>
      </c>
      <c r="F863" s="189" t="str">
        <f ca="1">IFERROR(__xludf.DUMMYFUNCTION("""COMPUTED_VALUE"""),"I")</f>
        <v>I</v>
      </c>
      <c r="G863" s="189">
        <f ca="1">IFERROR(__xludf.DUMMYFUNCTION("""COMPUTED_VALUE"""),2)</f>
        <v>2</v>
      </c>
      <c r="H863" s="196"/>
      <c r="I863" s="196"/>
      <c r="J863" s="196"/>
      <c r="K863" s="196"/>
      <c r="L863" s="196" t="str">
        <v/>
      </c>
      <c r="M863" s="196"/>
    </row>
    <row r="864" spans="1:13" ht="14.4" x14ac:dyDescent="0.3">
      <c r="A864" s="189" t="str">
        <f ca="1">IFERROR(__xludf.DUMMYFUNCTION("""COMPUTED_VALUE"""),"HS")</f>
        <v>HS</v>
      </c>
      <c r="B864" s="195" t="str">
        <f ca="1">IFERROR(__xludf.DUMMYFUNCTION("""COMPUTED_VALUE"""),"Maddie Kelly")</f>
        <v>Maddie Kelly</v>
      </c>
      <c r="C864" s="189">
        <f ca="1">IFERROR(__xludf.DUMMYFUNCTION("""COMPUTED_VALUE"""),11)</f>
        <v>11</v>
      </c>
      <c r="D864" s="189" t="str">
        <f ca="1">IFERROR(__xludf.DUMMYFUNCTION("""COMPUTED_VALUE"""),"G")</f>
        <v>G</v>
      </c>
      <c r="E864" s="189" t="str">
        <f ca="1">IFERROR(__xludf.DUMMYFUNCTION("""COMPUTED_VALUE"""),"J")</f>
        <v>J</v>
      </c>
      <c r="F864" s="189" t="str">
        <f ca="1">IFERROR(__xludf.DUMMYFUNCTION("""COMPUTED_VALUE"""),"I")</f>
        <v>I</v>
      </c>
      <c r="G864" s="189">
        <f ca="1">IFERROR(__xludf.DUMMYFUNCTION("""COMPUTED_VALUE"""),2)</f>
        <v>2</v>
      </c>
      <c r="H864" s="196" t="s">
        <v>78</v>
      </c>
      <c r="I864" s="196"/>
      <c r="J864" s="196" t="s">
        <v>29</v>
      </c>
      <c r="K864" s="196"/>
      <c r="L864" s="196" t="str">
        <v xml:space="preserve"> 48.15</v>
      </c>
      <c r="M864" s="196"/>
    </row>
    <row r="865" spans="1:13" ht="14.4" x14ac:dyDescent="0.3">
      <c r="A865" s="189" t="str">
        <f ca="1">IFERROR(__xludf.DUMMYFUNCTION("""COMPUTED_VALUE"""),"HS")</f>
        <v>HS</v>
      </c>
      <c r="B865" s="195" t="str">
        <f ca="1">IFERROR(__xludf.DUMMYFUNCTION("""COMPUTED_VALUE"""),"Nora Maxey")</f>
        <v>Nora Maxey</v>
      </c>
      <c r="C865" s="189">
        <f ca="1">IFERROR(__xludf.DUMMYFUNCTION("""COMPUTED_VALUE"""),12)</f>
        <v>12</v>
      </c>
      <c r="D865" s="189" t="str">
        <f ca="1">IFERROR(__xludf.DUMMYFUNCTION("""COMPUTED_VALUE"""),"G")</f>
        <v>G</v>
      </c>
      <c r="E865" s="189" t="str">
        <f ca="1">IFERROR(__xludf.DUMMYFUNCTION("""COMPUTED_VALUE"""),"J")</f>
        <v>J</v>
      </c>
      <c r="F865" s="189" t="str">
        <f ca="1">IFERROR(__xludf.DUMMYFUNCTION("""COMPUTED_VALUE"""),"I")</f>
        <v>I</v>
      </c>
      <c r="G865" s="189">
        <f ca="1">IFERROR(__xludf.DUMMYFUNCTION("""COMPUTED_VALUE"""),2)</f>
        <v>2</v>
      </c>
      <c r="H865" s="196" t="s">
        <v>377</v>
      </c>
      <c r="I865" s="196"/>
      <c r="J865" s="196" t="s">
        <v>29</v>
      </c>
      <c r="K865" s="196"/>
      <c r="L865" s="196" t="str">
        <v xml:space="preserve"> 87.65</v>
      </c>
      <c r="M865" s="196"/>
    </row>
    <row r="866" spans="1:13" ht="14.4" x14ac:dyDescent="0.3">
      <c r="A866" s="189" t="str">
        <f ca="1">IFERROR(__xludf.DUMMYFUNCTION("""COMPUTED_VALUE"""),"HS")</f>
        <v>HS</v>
      </c>
      <c r="B866" s="195" t="str">
        <f ca="1">IFERROR(__xludf.DUMMYFUNCTION("""COMPUTED_VALUE"""),"Sophie Genter")</f>
        <v>Sophie Genter</v>
      </c>
      <c r="C866" s="189">
        <f ca="1">IFERROR(__xludf.DUMMYFUNCTION("""COMPUTED_VALUE"""),12)</f>
        <v>12</v>
      </c>
      <c r="D866" s="189" t="str">
        <f ca="1">IFERROR(__xludf.DUMMYFUNCTION("""COMPUTED_VALUE"""),"G")</f>
        <v>G</v>
      </c>
      <c r="E866" s="189" t="str">
        <f ca="1">IFERROR(__xludf.DUMMYFUNCTION("""COMPUTED_VALUE"""),"J")</f>
        <v>J</v>
      </c>
      <c r="F866" s="189" t="str">
        <f ca="1">IFERROR(__xludf.DUMMYFUNCTION("""COMPUTED_VALUE"""),"I")</f>
        <v>I</v>
      </c>
      <c r="G866" s="189">
        <f ca="1">IFERROR(__xludf.DUMMYFUNCTION("""COMPUTED_VALUE"""),2)</f>
        <v>2</v>
      </c>
      <c r="H866" s="196"/>
      <c r="I866" s="196"/>
      <c r="J866" s="196"/>
      <c r="K866" s="196"/>
      <c r="L866" s="196" t="str">
        <v/>
      </c>
      <c r="M866" s="196"/>
    </row>
    <row r="867" spans="1:13" ht="14.4" x14ac:dyDescent="0.3">
      <c r="A867" s="189" t="str">
        <f ca="1">IFERROR(__xludf.DUMMYFUNCTION("""COMPUTED_VALUE"""),"HS")</f>
        <v>HS</v>
      </c>
      <c r="B867" s="195" t="str">
        <f ca="1">IFERROR(__xludf.DUMMYFUNCTION("""COMPUTED_VALUE"""),"Connor Stith")</f>
        <v>Connor Stith</v>
      </c>
      <c r="C867" s="189">
        <f ca="1">IFERROR(__xludf.DUMMYFUNCTION("""COMPUTED_VALUE"""),11)</f>
        <v>11</v>
      </c>
      <c r="D867" s="189" t="str">
        <f ca="1">IFERROR(__xludf.DUMMYFUNCTION("""COMPUTED_VALUE"""),"B")</f>
        <v>B</v>
      </c>
      <c r="E867" s="189" t="str">
        <f ca="1">IFERROR(__xludf.DUMMYFUNCTION("""COMPUTED_VALUE"""),"J")</f>
        <v>J</v>
      </c>
      <c r="F867" s="189" t="str">
        <f ca="1">IFERROR(__xludf.DUMMYFUNCTION("""COMPUTED_VALUE"""),"I")</f>
        <v>I</v>
      </c>
      <c r="G867" s="189">
        <f ca="1">IFERROR(__xludf.DUMMYFUNCTION("""COMPUTED_VALUE"""),2)</f>
        <v>2</v>
      </c>
      <c r="H867" s="196" t="s">
        <v>378</v>
      </c>
      <c r="I867" s="196"/>
      <c r="J867" s="196" t="s">
        <v>29</v>
      </c>
      <c r="K867" s="196"/>
      <c r="L867" s="196" t="str">
        <v xml:space="preserve"> 70.80</v>
      </c>
      <c r="M867" s="196"/>
    </row>
    <row r="868" spans="1:13" ht="14.4" x14ac:dyDescent="0.3">
      <c r="A868" s="189" t="str">
        <f ca="1">IFERROR(__xludf.DUMMYFUNCTION("""COMPUTED_VALUE"""),"HS")</f>
        <v>HS</v>
      </c>
      <c r="B868" s="195" t="str">
        <f ca="1">IFERROR(__xludf.DUMMYFUNCTION("""COMPUTED_VALUE"""),"Dylan Baldrate")</f>
        <v>Dylan Baldrate</v>
      </c>
      <c r="C868" s="189">
        <f ca="1">IFERROR(__xludf.DUMMYFUNCTION("""COMPUTED_VALUE"""),12)</f>
        <v>12</v>
      </c>
      <c r="D868" s="189" t="str">
        <f ca="1">IFERROR(__xludf.DUMMYFUNCTION("""COMPUTED_VALUE"""),"B")</f>
        <v>B</v>
      </c>
      <c r="E868" s="189" t="str">
        <f ca="1">IFERROR(__xludf.DUMMYFUNCTION("""COMPUTED_VALUE"""),"J")</f>
        <v>J</v>
      </c>
      <c r="F868" s="189" t="str">
        <f ca="1">IFERROR(__xludf.DUMMYFUNCTION("""COMPUTED_VALUE"""),"I")</f>
        <v>I</v>
      </c>
      <c r="G868" s="189">
        <f ca="1">IFERROR(__xludf.DUMMYFUNCTION("""COMPUTED_VALUE"""),2)</f>
        <v>2</v>
      </c>
      <c r="H868" s="196" t="s">
        <v>379</v>
      </c>
      <c r="I868" s="196"/>
      <c r="J868" s="196" t="s">
        <v>29</v>
      </c>
      <c r="K868" s="196"/>
      <c r="L868" s="196" t="str">
        <v xml:space="preserve"> 43.60</v>
      </c>
      <c r="M868" s="196"/>
    </row>
    <row r="869" spans="1:13" ht="14.4" x14ac:dyDescent="0.3">
      <c r="A869" s="189" t="str">
        <f ca="1">IFERROR(__xludf.DUMMYFUNCTION("""COMPUTED_VALUE"""),"HS")</f>
        <v>HS</v>
      </c>
      <c r="B869" s="195" t="str">
        <f ca="1">IFERROR(__xludf.DUMMYFUNCTION("""COMPUTED_VALUE"""),"Faustino Fredes")</f>
        <v>Faustino Fredes</v>
      </c>
      <c r="C869" s="189">
        <f ca="1">IFERROR(__xludf.DUMMYFUNCTION("""COMPUTED_VALUE"""),12)</f>
        <v>12</v>
      </c>
      <c r="D869" s="189" t="str">
        <f ca="1">IFERROR(__xludf.DUMMYFUNCTION("""COMPUTED_VALUE"""),"B")</f>
        <v>B</v>
      </c>
      <c r="E869" s="189" t="str">
        <f ca="1">IFERROR(__xludf.DUMMYFUNCTION("""COMPUTED_VALUE"""),"J")</f>
        <v>J</v>
      </c>
      <c r="F869" s="189" t="str">
        <f ca="1">IFERROR(__xludf.DUMMYFUNCTION("""COMPUTED_VALUE"""),"I")</f>
        <v>I</v>
      </c>
      <c r="G869" s="189">
        <f ca="1">IFERROR(__xludf.DUMMYFUNCTION("""COMPUTED_VALUE"""),2)</f>
        <v>2</v>
      </c>
      <c r="H869" s="196" t="s">
        <v>380</v>
      </c>
      <c r="I869" s="196"/>
      <c r="J869" s="196" t="s">
        <v>29</v>
      </c>
      <c r="K869" s="196"/>
      <c r="L869" s="196" t="str">
        <v xml:space="preserve"> 130.70</v>
      </c>
      <c r="M869" s="196"/>
    </row>
    <row r="870" spans="1:13" ht="14.4" x14ac:dyDescent="0.3">
      <c r="A870" s="189" t="str">
        <f ca="1">IFERROR(__xludf.DUMMYFUNCTION("""COMPUTED_VALUE"""),"HS")</f>
        <v>HS</v>
      </c>
      <c r="B870" s="195" t="str">
        <f ca="1">IFERROR(__xludf.DUMMYFUNCTION("""COMPUTED_VALUE"""),"Logan Titus")</f>
        <v>Logan Titus</v>
      </c>
      <c r="C870" s="189">
        <f ca="1">IFERROR(__xludf.DUMMYFUNCTION("""COMPUTED_VALUE"""),11)</f>
        <v>11</v>
      </c>
      <c r="D870" s="189" t="str">
        <f ca="1">IFERROR(__xludf.DUMMYFUNCTION("""COMPUTED_VALUE"""),"B")</f>
        <v>B</v>
      </c>
      <c r="E870" s="189" t="str">
        <f ca="1">IFERROR(__xludf.DUMMYFUNCTION("""COMPUTED_VALUE"""),"J")</f>
        <v>J</v>
      </c>
      <c r="F870" s="189" t="str">
        <f ca="1">IFERROR(__xludf.DUMMYFUNCTION("""COMPUTED_VALUE"""),"I")</f>
        <v>I</v>
      </c>
      <c r="G870" s="189">
        <f ca="1">IFERROR(__xludf.DUMMYFUNCTION("""COMPUTED_VALUE"""),2)</f>
        <v>2</v>
      </c>
      <c r="H870" s="196"/>
      <c r="I870" s="196"/>
      <c r="J870" s="196"/>
      <c r="K870" s="196"/>
      <c r="L870" s="196" t="str">
        <v/>
      </c>
      <c r="M870" s="196"/>
    </row>
    <row r="871" spans="1:13" ht="14.4" x14ac:dyDescent="0.3">
      <c r="A871" s="189" t="str">
        <f ca="1">IFERROR(__xludf.DUMMYFUNCTION("""COMPUTED_VALUE"""),"HS")</f>
        <v>HS</v>
      </c>
      <c r="B871" s="195" t="str">
        <f ca="1">IFERROR(__xludf.DUMMYFUNCTION("""COMPUTED_VALUE"""),"Teddy Lilly")</f>
        <v>Teddy Lilly</v>
      </c>
      <c r="C871" s="189">
        <f ca="1">IFERROR(__xludf.DUMMYFUNCTION("""COMPUTED_VALUE"""),11)</f>
        <v>11</v>
      </c>
      <c r="D871" s="189" t="str">
        <f ca="1">IFERROR(__xludf.DUMMYFUNCTION("""COMPUTED_VALUE"""),"B")</f>
        <v>B</v>
      </c>
      <c r="E871" s="189" t="str">
        <f ca="1">IFERROR(__xludf.DUMMYFUNCTION("""COMPUTED_VALUE"""),"J")</f>
        <v>J</v>
      </c>
      <c r="F871" s="189" t="str">
        <f ca="1">IFERROR(__xludf.DUMMYFUNCTION("""COMPUTED_VALUE"""),"I")</f>
        <v>I</v>
      </c>
      <c r="G871" s="189">
        <f ca="1">IFERROR(__xludf.DUMMYFUNCTION("""COMPUTED_VALUE"""),2)</f>
        <v>2</v>
      </c>
      <c r="H871" s="196"/>
      <c r="I871" s="196"/>
      <c r="J871" s="196"/>
      <c r="K871" s="196"/>
      <c r="L871" s="196" t="str">
        <v/>
      </c>
      <c r="M871" s="196"/>
    </row>
    <row r="872" spans="1:13" ht="14.4" x14ac:dyDescent="0.3">
      <c r="A872" s="189" t="str">
        <f ca="1">IFERROR(__xludf.DUMMYFUNCTION("""COMPUTED_VALUE"""),"HS")</f>
        <v>HS</v>
      </c>
      <c r="B872" s="195" t="str">
        <f ca="1">IFERROR(__xludf.DUMMYFUNCTION("""COMPUTED_VALUE"""),"Charlotte Berik")</f>
        <v>Charlotte Berik</v>
      </c>
      <c r="C872" s="189">
        <f ca="1">IFERROR(__xludf.DUMMYFUNCTION("""COMPUTED_VALUE"""),15)</f>
        <v>15</v>
      </c>
      <c r="D872" s="189" t="str">
        <f ca="1">IFERROR(__xludf.DUMMYFUNCTION("""COMPUTED_VALUE"""),"G")</f>
        <v>G</v>
      </c>
      <c r="E872" s="189" t="str">
        <f ca="1">IFERROR(__xludf.DUMMYFUNCTION("""COMPUTED_VALUE"""),"S")</f>
        <v>S</v>
      </c>
      <c r="F872" s="189" t="str">
        <f ca="1">IFERROR(__xludf.DUMMYFUNCTION("""COMPUTED_VALUE"""),"S")</f>
        <v>S</v>
      </c>
      <c r="G872" s="189">
        <f ca="1">IFERROR(__xludf.DUMMYFUNCTION("""COMPUTED_VALUE"""),2)</f>
        <v>2</v>
      </c>
      <c r="H872" s="196"/>
      <c r="I872" s="196"/>
      <c r="J872" s="196"/>
      <c r="K872" s="196"/>
      <c r="L872" s="196" t="str">
        <v/>
      </c>
      <c r="M872" s="196"/>
    </row>
    <row r="873" spans="1:13" ht="14.4" x14ac:dyDescent="0.3">
      <c r="A873" s="189" t="str">
        <f ca="1">IFERROR(__xludf.DUMMYFUNCTION("""COMPUTED_VALUE"""),"HS")</f>
        <v>HS</v>
      </c>
      <c r="B873" s="195" t="str">
        <f ca="1">IFERROR(__xludf.DUMMYFUNCTION("""COMPUTED_VALUE"""),"Erin Wills")</f>
        <v>Erin Wills</v>
      </c>
      <c r="C873" s="189">
        <f ca="1">IFERROR(__xludf.DUMMYFUNCTION("""COMPUTED_VALUE"""),18)</f>
        <v>18</v>
      </c>
      <c r="D873" s="189" t="str">
        <f ca="1">IFERROR(__xludf.DUMMYFUNCTION("""COMPUTED_VALUE"""),"G")</f>
        <v>G</v>
      </c>
      <c r="E873" s="189" t="str">
        <f ca="1">IFERROR(__xludf.DUMMYFUNCTION("""COMPUTED_VALUE"""),"S")</f>
        <v>S</v>
      </c>
      <c r="F873" s="189" t="str">
        <f ca="1">IFERROR(__xludf.DUMMYFUNCTION("""COMPUTED_VALUE"""),"S")</f>
        <v>S</v>
      </c>
      <c r="G873" s="189">
        <f ca="1">IFERROR(__xludf.DUMMYFUNCTION("""COMPUTED_VALUE"""),2)</f>
        <v>2</v>
      </c>
      <c r="H873" s="196"/>
      <c r="I873" s="196"/>
      <c r="J873" s="196"/>
      <c r="K873" s="196"/>
      <c r="L873" s="196" t="str">
        <v/>
      </c>
      <c r="M873" s="196"/>
    </row>
    <row r="874" spans="1:13" ht="14.4" x14ac:dyDescent="0.3">
      <c r="A874" s="189" t="str">
        <f ca="1">IFERROR(__xludf.DUMMYFUNCTION("""COMPUTED_VALUE"""),"HS")</f>
        <v>HS</v>
      </c>
      <c r="B874" s="195" t="str">
        <f ca="1">IFERROR(__xludf.DUMMYFUNCTION("""COMPUTED_VALUE"""),"Grace Berik")</f>
        <v>Grace Berik</v>
      </c>
      <c r="C874" s="189">
        <f ca="1">IFERROR(__xludf.DUMMYFUNCTION("""COMPUTED_VALUE"""),16)</f>
        <v>16</v>
      </c>
      <c r="D874" s="189" t="str">
        <f ca="1">IFERROR(__xludf.DUMMYFUNCTION("""COMPUTED_VALUE"""),"G")</f>
        <v>G</v>
      </c>
      <c r="E874" s="189" t="str">
        <f ca="1">IFERROR(__xludf.DUMMYFUNCTION("""COMPUTED_VALUE"""),"S")</f>
        <v>S</v>
      </c>
      <c r="F874" s="189" t="str">
        <f ca="1">IFERROR(__xludf.DUMMYFUNCTION("""COMPUTED_VALUE"""),"S")</f>
        <v>S</v>
      </c>
      <c r="G874" s="189">
        <f ca="1">IFERROR(__xludf.DUMMYFUNCTION("""COMPUTED_VALUE"""),2)</f>
        <v>2</v>
      </c>
      <c r="H874" s="196" t="s">
        <v>381</v>
      </c>
      <c r="I874" s="196"/>
      <c r="J874" s="196" t="s">
        <v>29</v>
      </c>
      <c r="K874" s="196"/>
      <c r="L874" s="196" t="str">
        <v xml:space="preserve"> 122.05</v>
      </c>
      <c r="M874" s="196"/>
    </row>
    <row r="875" spans="1:13" ht="14.4" x14ac:dyDescent="0.3">
      <c r="A875" s="189" t="str">
        <f ca="1">IFERROR(__xludf.DUMMYFUNCTION("""COMPUTED_VALUE"""),"HS")</f>
        <v>HS</v>
      </c>
      <c r="B875" s="195" t="str">
        <f ca="1">IFERROR(__xludf.DUMMYFUNCTION("""COMPUTED_VALUE"""),"Katherine Chen")</f>
        <v>Katherine Chen</v>
      </c>
      <c r="C875" s="189">
        <f ca="1">IFERROR(__xludf.DUMMYFUNCTION("""COMPUTED_VALUE"""),15)</f>
        <v>15</v>
      </c>
      <c r="D875" s="189" t="str">
        <f ca="1">IFERROR(__xludf.DUMMYFUNCTION("""COMPUTED_VALUE"""),"G")</f>
        <v>G</v>
      </c>
      <c r="E875" s="189" t="str">
        <f ca="1">IFERROR(__xludf.DUMMYFUNCTION("""COMPUTED_VALUE"""),"S")</f>
        <v>S</v>
      </c>
      <c r="F875" s="189" t="str">
        <f ca="1">IFERROR(__xludf.DUMMYFUNCTION("""COMPUTED_VALUE"""),"S")</f>
        <v>S</v>
      </c>
      <c r="G875" s="189">
        <f ca="1">IFERROR(__xludf.DUMMYFUNCTION("""COMPUTED_VALUE"""),2)</f>
        <v>2</v>
      </c>
      <c r="H875" s="196"/>
      <c r="I875" s="196"/>
      <c r="J875" s="196"/>
      <c r="K875" s="196"/>
      <c r="L875" s="196" t="str">
        <v/>
      </c>
      <c r="M875" s="196"/>
    </row>
    <row r="876" spans="1:13" ht="14.4" x14ac:dyDescent="0.3">
      <c r="A876" s="189" t="str">
        <f ca="1">IFERROR(__xludf.DUMMYFUNCTION("""COMPUTED_VALUE"""),"HS")</f>
        <v>HS</v>
      </c>
      <c r="B876" s="195" t="str">
        <f ca="1">IFERROR(__xludf.DUMMYFUNCTION("""COMPUTED_VALUE"""),"Brennan Wilson")</f>
        <v>Brennan Wilson</v>
      </c>
      <c r="C876" s="189">
        <f ca="1">IFERROR(__xludf.DUMMYFUNCTION("""COMPUTED_VALUE"""),15)</f>
        <v>15</v>
      </c>
      <c r="D876" s="189" t="str">
        <f ca="1">IFERROR(__xludf.DUMMYFUNCTION("""COMPUTED_VALUE"""),"B")</f>
        <v>B</v>
      </c>
      <c r="E876" s="189" t="str">
        <f ca="1">IFERROR(__xludf.DUMMYFUNCTION("""COMPUTED_VALUE"""),"S")</f>
        <v>S</v>
      </c>
      <c r="F876" s="189" t="str">
        <f ca="1">IFERROR(__xludf.DUMMYFUNCTION("""COMPUTED_VALUE"""),"S")</f>
        <v>S</v>
      </c>
      <c r="G876" s="189">
        <f ca="1">IFERROR(__xludf.DUMMYFUNCTION("""COMPUTED_VALUE"""),2)</f>
        <v>2</v>
      </c>
      <c r="H876" s="196" t="s">
        <v>382</v>
      </c>
      <c r="I876" s="196"/>
      <c r="J876" s="196" t="s">
        <v>29</v>
      </c>
      <c r="K876" s="196"/>
      <c r="L876" s="196" t="str">
        <v xml:space="preserve"> 91.10</v>
      </c>
      <c r="M876" s="196"/>
    </row>
    <row r="877" spans="1:13" ht="14.4" x14ac:dyDescent="0.3">
      <c r="A877" s="189" t="str">
        <f ca="1">IFERROR(__xludf.DUMMYFUNCTION("""COMPUTED_VALUE"""),"HS")</f>
        <v>HS</v>
      </c>
      <c r="B877" s="195" t="str">
        <f ca="1">IFERROR(__xludf.DUMMYFUNCTION("""COMPUTED_VALUE"""),"Connor Barlotta")</f>
        <v>Connor Barlotta</v>
      </c>
      <c r="C877" s="189">
        <f ca="1">IFERROR(__xludf.DUMMYFUNCTION("""COMPUTED_VALUE"""),15)</f>
        <v>15</v>
      </c>
      <c r="D877" s="189" t="str">
        <f ca="1">IFERROR(__xludf.DUMMYFUNCTION("""COMPUTED_VALUE"""),"B")</f>
        <v>B</v>
      </c>
      <c r="E877" s="189" t="str">
        <f ca="1">IFERROR(__xludf.DUMMYFUNCTION("""COMPUTED_VALUE"""),"S")</f>
        <v>S</v>
      </c>
      <c r="F877" s="189" t="str">
        <f ca="1">IFERROR(__xludf.DUMMYFUNCTION("""COMPUTED_VALUE"""),"S")</f>
        <v>S</v>
      </c>
      <c r="G877" s="189">
        <f ca="1">IFERROR(__xludf.DUMMYFUNCTION("""COMPUTED_VALUE"""),2)</f>
        <v>2</v>
      </c>
      <c r="H877" s="196"/>
      <c r="I877" s="196"/>
      <c r="J877" s="196"/>
      <c r="K877" s="196"/>
      <c r="L877" s="196" t="str">
        <v/>
      </c>
      <c r="M877" s="196"/>
    </row>
    <row r="878" spans="1:13" ht="14.4" x14ac:dyDescent="0.3">
      <c r="A878" s="189" t="str">
        <f ca="1">IFERROR(__xludf.DUMMYFUNCTION("""COMPUTED_VALUE"""),"HS")</f>
        <v>HS</v>
      </c>
      <c r="B878" s="195" t="str">
        <f ca="1">IFERROR(__xludf.DUMMYFUNCTION("""COMPUTED_VALUE"""),"Emelio Minvielle")</f>
        <v>Emelio Minvielle</v>
      </c>
      <c r="C878" s="189">
        <f ca="1">IFERROR(__xludf.DUMMYFUNCTION("""COMPUTED_VALUE"""),15)</f>
        <v>15</v>
      </c>
      <c r="D878" s="189" t="str">
        <f ca="1">IFERROR(__xludf.DUMMYFUNCTION("""COMPUTED_VALUE"""),"B")</f>
        <v>B</v>
      </c>
      <c r="E878" s="189" t="str">
        <f ca="1">IFERROR(__xludf.DUMMYFUNCTION("""COMPUTED_VALUE"""),"S")</f>
        <v>S</v>
      </c>
      <c r="F878" s="189" t="str">
        <f ca="1">IFERROR(__xludf.DUMMYFUNCTION("""COMPUTED_VALUE"""),"S")</f>
        <v>S</v>
      </c>
      <c r="G878" s="189">
        <f ca="1">IFERROR(__xludf.DUMMYFUNCTION("""COMPUTED_VALUE"""),2)</f>
        <v>2</v>
      </c>
      <c r="H878" s="196"/>
      <c r="I878" s="196"/>
      <c r="J878" s="196"/>
      <c r="K878" s="196"/>
      <c r="L878" s="196" t="str">
        <v/>
      </c>
      <c r="M878" s="196"/>
    </row>
    <row r="879" spans="1:13" ht="14.4" x14ac:dyDescent="0.3">
      <c r="A879" s="189" t="str">
        <f ca="1">IFERROR(__xludf.DUMMYFUNCTION("""COMPUTED_VALUE"""),"HS")</f>
        <v>HS</v>
      </c>
      <c r="B879" s="195" t="str">
        <f ca="1">IFERROR(__xludf.DUMMYFUNCTION("""COMPUTED_VALUE"""),"Lucas Stadelmann")</f>
        <v>Lucas Stadelmann</v>
      </c>
      <c r="C879" s="189">
        <f ca="1">IFERROR(__xludf.DUMMYFUNCTION("""COMPUTED_VALUE"""),15)</f>
        <v>15</v>
      </c>
      <c r="D879" s="189" t="str">
        <f ca="1">IFERROR(__xludf.DUMMYFUNCTION("""COMPUTED_VALUE"""),"B")</f>
        <v>B</v>
      </c>
      <c r="E879" s="189" t="str">
        <f ca="1">IFERROR(__xludf.DUMMYFUNCTION("""COMPUTED_VALUE"""),"S")</f>
        <v>S</v>
      </c>
      <c r="F879" s="189" t="str">
        <f ca="1">IFERROR(__xludf.DUMMYFUNCTION("""COMPUTED_VALUE"""),"S")</f>
        <v>S</v>
      </c>
      <c r="G879" s="189">
        <f ca="1">IFERROR(__xludf.DUMMYFUNCTION("""COMPUTED_VALUE"""),2)</f>
        <v>2</v>
      </c>
      <c r="H879" s="196" t="s">
        <v>383</v>
      </c>
      <c r="I879" s="196"/>
      <c r="J879" s="196" t="s">
        <v>29</v>
      </c>
      <c r="K879" s="196"/>
      <c r="L879" s="196" t="str">
        <v xml:space="preserve"> 147.00</v>
      </c>
      <c r="M879" s="196"/>
    </row>
    <row r="880" spans="1:13" ht="14.4" x14ac:dyDescent="0.3">
      <c r="A880" s="189" t="str">
        <f ca="1">IFERROR(__xludf.DUMMYFUNCTION("""COMPUTED_VALUE"""),"HSC")</f>
        <v>HSC</v>
      </c>
      <c r="B880" s="195" t="str">
        <f ca="1">IFERROR(__xludf.DUMMYFUNCTION("""COMPUTED_VALUE"""),"Alicia Pereira Kim")</f>
        <v>Alicia Pereira Kim</v>
      </c>
      <c r="C880" s="189">
        <f ca="1">IFERROR(__xludf.DUMMYFUNCTION("""COMPUTED_VALUE"""),8)</f>
        <v>8</v>
      </c>
      <c r="D880" s="189" t="str">
        <f ca="1">IFERROR(__xludf.DUMMYFUNCTION("""COMPUTED_VALUE"""),"G")</f>
        <v>G</v>
      </c>
      <c r="E880" s="189" t="str">
        <f ca="1">IFERROR(__xludf.DUMMYFUNCTION("""COMPUTED_VALUE"""),"F")</f>
        <v>F</v>
      </c>
      <c r="F880" s="189" t="str">
        <f ca="1">IFERROR(__xludf.DUMMYFUNCTION("""COMPUTED_VALUE"""),"J")</f>
        <v>J</v>
      </c>
      <c r="G880" s="189">
        <f ca="1">IFERROR(__xludf.DUMMYFUNCTION("""COMPUTED_VALUE"""),8)</f>
        <v>8</v>
      </c>
      <c r="H880" s="196" t="s">
        <v>384</v>
      </c>
      <c r="I880" s="196"/>
      <c r="J880" s="196" t="s">
        <v>29</v>
      </c>
      <c r="K880" s="196"/>
      <c r="L880" s="196" t="str">
        <v xml:space="preserve"> 33.15</v>
      </c>
      <c r="M880" s="196"/>
    </row>
    <row r="881" spans="1:13" ht="14.4" x14ac:dyDescent="0.3">
      <c r="A881" s="189" t="str">
        <f ca="1">IFERROR(__xludf.DUMMYFUNCTION("""COMPUTED_VALUE"""),"HSC")</f>
        <v>HSC</v>
      </c>
      <c r="B881" s="195" t="str">
        <f ca="1">IFERROR(__xludf.DUMMYFUNCTION("""COMPUTED_VALUE"""),"Amelia Gentry")</f>
        <v>Amelia Gentry</v>
      </c>
      <c r="C881" s="189">
        <f ca="1">IFERROR(__xludf.DUMMYFUNCTION("""COMPUTED_VALUE"""),9)</f>
        <v>9</v>
      </c>
      <c r="D881" s="189" t="str">
        <f ca="1">IFERROR(__xludf.DUMMYFUNCTION("""COMPUTED_VALUE"""),"G")</f>
        <v>G</v>
      </c>
      <c r="E881" s="189" t="str">
        <f ca="1">IFERROR(__xludf.DUMMYFUNCTION("""COMPUTED_VALUE"""),"F")</f>
        <v>F</v>
      </c>
      <c r="F881" s="189" t="str">
        <f ca="1">IFERROR(__xludf.DUMMYFUNCTION("""COMPUTED_VALUE"""),"J")</f>
        <v>J</v>
      </c>
      <c r="G881" s="189">
        <f ca="1">IFERROR(__xludf.DUMMYFUNCTION("""COMPUTED_VALUE"""),8)</f>
        <v>8</v>
      </c>
      <c r="H881" s="196" t="s">
        <v>385</v>
      </c>
      <c r="I881" s="196"/>
      <c r="J881" s="196" t="s">
        <v>29</v>
      </c>
      <c r="K881" s="196"/>
      <c r="L881" s="196" t="str">
        <v xml:space="preserve"> 34.65</v>
      </c>
      <c r="M881" s="196"/>
    </row>
    <row r="882" spans="1:13" ht="14.4" x14ac:dyDescent="0.3">
      <c r="A882" s="189" t="str">
        <f ca="1">IFERROR(__xludf.DUMMYFUNCTION("""COMPUTED_VALUE"""),"HSC")</f>
        <v>HSC</v>
      </c>
      <c r="B882" s="195" t="str">
        <f ca="1">IFERROR(__xludf.DUMMYFUNCTION("""COMPUTED_VALUE"""),"Britton Colosi")</f>
        <v>Britton Colosi</v>
      </c>
      <c r="C882" s="189">
        <f ca="1">IFERROR(__xludf.DUMMYFUNCTION("""COMPUTED_VALUE"""),9)</f>
        <v>9</v>
      </c>
      <c r="D882" s="189" t="str">
        <f ca="1">IFERROR(__xludf.DUMMYFUNCTION("""COMPUTED_VALUE"""),"G")</f>
        <v>G</v>
      </c>
      <c r="E882" s="189" t="str">
        <f ca="1">IFERROR(__xludf.DUMMYFUNCTION("""COMPUTED_VALUE"""),"F")</f>
        <v>F</v>
      </c>
      <c r="F882" s="189" t="str">
        <f ca="1">IFERROR(__xludf.DUMMYFUNCTION("""COMPUTED_VALUE"""),"J")</f>
        <v>J</v>
      </c>
      <c r="G882" s="189">
        <f ca="1">IFERROR(__xludf.DUMMYFUNCTION("""COMPUTED_VALUE"""),8)</f>
        <v>8</v>
      </c>
      <c r="H882" s="196" t="s">
        <v>386</v>
      </c>
      <c r="I882" s="196"/>
      <c r="J882" s="196" t="s">
        <v>29</v>
      </c>
      <c r="K882" s="196"/>
      <c r="L882" s="196" t="str">
        <v xml:space="preserve"> 53.70</v>
      </c>
      <c r="M882" s="196"/>
    </row>
    <row r="883" spans="1:13" ht="14.4" x14ac:dyDescent="0.3">
      <c r="A883" s="189" t="str">
        <f ca="1">IFERROR(__xludf.DUMMYFUNCTION("""COMPUTED_VALUE"""),"HSC")</f>
        <v>HSC</v>
      </c>
      <c r="B883" s="195" t="str">
        <f ca="1">IFERROR(__xludf.DUMMYFUNCTION("""COMPUTED_VALUE"""),"Grace Wegner")</f>
        <v>Grace Wegner</v>
      </c>
      <c r="C883" s="189">
        <f ca="1">IFERROR(__xludf.DUMMYFUNCTION("""COMPUTED_VALUE"""),10)</f>
        <v>10</v>
      </c>
      <c r="D883" s="189" t="str">
        <f ca="1">IFERROR(__xludf.DUMMYFUNCTION("""COMPUTED_VALUE"""),"G")</f>
        <v>G</v>
      </c>
      <c r="E883" s="189" t="str">
        <f ca="1">IFERROR(__xludf.DUMMYFUNCTION("""COMPUTED_VALUE"""),"F")</f>
        <v>F</v>
      </c>
      <c r="F883" s="189" t="str">
        <f ca="1">IFERROR(__xludf.DUMMYFUNCTION("""COMPUTED_VALUE"""),"J")</f>
        <v>J</v>
      </c>
      <c r="G883" s="189">
        <f ca="1">IFERROR(__xludf.DUMMYFUNCTION("""COMPUTED_VALUE"""),8)</f>
        <v>8</v>
      </c>
      <c r="H883" s="196" t="s">
        <v>387</v>
      </c>
      <c r="I883" s="196"/>
      <c r="J883" s="196" t="s">
        <v>64</v>
      </c>
      <c r="K883" s="196"/>
      <c r="L883" s="196" t="str">
        <v xml:space="preserve"> -71.15</v>
      </c>
      <c r="M883" s="196"/>
    </row>
    <row r="884" spans="1:13" ht="14.4" x14ac:dyDescent="0.3">
      <c r="A884" s="189" t="str">
        <f ca="1">IFERROR(__xludf.DUMMYFUNCTION("""COMPUTED_VALUE"""),"HSC")</f>
        <v>HSC</v>
      </c>
      <c r="B884" s="195" t="str">
        <f ca="1">IFERROR(__xludf.DUMMYFUNCTION("""COMPUTED_VALUE"""),"Jordana Ghazal")</f>
        <v>Jordana Ghazal</v>
      </c>
      <c r="C884" s="189">
        <f ca="1">IFERROR(__xludf.DUMMYFUNCTION("""COMPUTED_VALUE"""),7)</f>
        <v>7</v>
      </c>
      <c r="D884" s="189" t="str">
        <f ca="1">IFERROR(__xludf.DUMMYFUNCTION("""COMPUTED_VALUE"""),"G")</f>
        <v>G</v>
      </c>
      <c r="E884" s="189" t="str">
        <f ca="1">IFERROR(__xludf.DUMMYFUNCTION("""COMPUTED_VALUE"""),"F")</f>
        <v>F</v>
      </c>
      <c r="F884" s="189" t="str">
        <f ca="1">IFERROR(__xludf.DUMMYFUNCTION("""COMPUTED_VALUE"""),"J")</f>
        <v>J</v>
      </c>
      <c r="G884" s="189">
        <f ca="1">IFERROR(__xludf.DUMMYFUNCTION("""COMPUTED_VALUE"""),8)</f>
        <v>8</v>
      </c>
      <c r="H884" s="196" t="s">
        <v>388</v>
      </c>
      <c r="I884" s="196"/>
      <c r="J884" s="196" t="s">
        <v>29</v>
      </c>
      <c r="K884" s="196"/>
      <c r="L884" s="196" t="str">
        <v xml:space="preserve"> 49.40</v>
      </c>
      <c r="M884" s="196"/>
    </row>
    <row r="885" spans="1:13" ht="14.4" x14ac:dyDescent="0.3">
      <c r="A885" s="189" t="str">
        <f ca="1">IFERROR(__xludf.DUMMYFUNCTION("""COMPUTED_VALUE"""),"HSC")</f>
        <v>HSC</v>
      </c>
      <c r="B885" s="195" t="str">
        <f ca="1">IFERROR(__xludf.DUMMYFUNCTION("""COMPUTED_VALUE"""),"Maya Robertson")</f>
        <v>Maya Robertson</v>
      </c>
      <c r="C885" s="189">
        <f ca="1">IFERROR(__xludf.DUMMYFUNCTION("""COMPUTED_VALUE"""),6)</f>
        <v>6</v>
      </c>
      <c r="D885" s="189" t="str">
        <f ca="1">IFERROR(__xludf.DUMMYFUNCTION("""COMPUTED_VALUE"""),"G")</f>
        <v>G</v>
      </c>
      <c r="E885" s="189" t="str">
        <f ca="1">IFERROR(__xludf.DUMMYFUNCTION("""COMPUTED_VALUE"""),"F")</f>
        <v>F</v>
      </c>
      <c r="F885" s="189" t="str">
        <f ca="1">IFERROR(__xludf.DUMMYFUNCTION("""COMPUTED_VALUE"""),"J")</f>
        <v>J</v>
      </c>
      <c r="G885" s="189">
        <f ca="1">IFERROR(__xludf.DUMMYFUNCTION("""COMPUTED_VALUE"""),8)</f>
        <v>8</v>
      </c>
      <c r="H885" s="196" t="s">
        <v>337</v>
      </c>
      <c r="I885" s="196"/>
      <c r="J885" s="196" t="s">
        <v>29</v>
      </c>
      <c r="K885" s="196"/>
      <c r="L885" s="196" t="str">
        <v xml:space="preserve"> 16.45</v>
      </c>
      <c r="M885" s="196"/>
    </row>
    <row r="886" spans="1:13" ht="14.4" x14ac:dyDescent="0.3">
      <c r="A886" s="189" t="str">
        <f ca="1">IFERROR(__xludf.DUMMYFUNCTION("""COMPUTED_VALUE"""),"HSC")</f>
        <v>HSC</v>
      </c>
      <c r="B886" s="195" t="str">
        <f ca="1">IFERROR(__xludf.DUMMYFUNCTION("""COMPUTED_VALUE"""),"Olivia Gentry")</f>
        <v>Olivia Gentry</v>
      </c>
      <c r="C886" s="189">
        <f ca="1">IFERROR(__xludf.DUMMYFUNCTION("""COMPUTED_VALUE"""),9)</f>
        <v>9</v>
      </c>
      <c r="D886" s="189" t="str">
        <f ca="1">IFERROR(__xludf.DUMMYFUNCTION("""COMPUTED_VALUE"""),"G")</f>
        <v>G</v>
      </c>
      <c r="E886" s="189" t="str">
        <f ca="1">IFERROR(__xludf.DUMMYFUNCTION("""COMPUTED_VALUE"""),"F")</f>
        <v>F</v>
      </c>
      <c r="F886" s="189" t="str">
        <f ca="1">IFERROR(__xludf.DUMMYFUNCTION("""COMPUTED_VALUE"""),"J")</f>
        <v>J</v>
      </c>
      <c r="G886" s="189">
        <f ca="1">IFERROR(__xludf.DUMMYFUNCTION("""COMPUTED_VALUE"""),8)</f>
        <v>8</v>
      </c>
      <c r="H886" s="196"/>
      <c r="I886" s="196"/>
      <c r="J886" s="196"/>
      <c r="K886" s="196"/>
      <c r="L886" s="196" t="str">
        <v/>
      </c>
      <c r="M886" s="196"/>
    </row>
    <row r="887" spans="1:13" ht="14.4" x14ac:dyDescent="0.3">
      <c r="A887" s="189" t="str">
        <f ca="1">IFERROR(__xludf.DUMMYFUNCTION("""COMPUTED_VALUE"""),"HSC")</f>
        <v>HSC</v>
      </c>
      <c r="B887" s="195" t="str">
        <f ca="1">IFERROR(__xludf.DUMMYFUNCTION("""COMPUTED_VALUE"""),"Orla Powles")</f>
        <v>Orla Powles</v>
      </c>
      <c r="C887" s="189">
        <f ca="1">IFERROR(__xludf.DUMMYFUNCTION("""COMPUTED_VALUE"""),6)</f>
        <v>6</v>
      </c>
      <c r="D887" s="189" t="str">
        <f ca="1">IFERROR(__xludf.DUMMYFUNCTION("""COMPUTED_VALUE"""),"G")</f>
        <v>G</v>
      </c>
      <c r="E887" s="189" t="str">
        <f ca="1">IFERROR(__xludf.DUMMYFUNCTION("""COMPUTED_VALUE"""),"F")</f>
        <v>F</v>
      </c>
      <c r="F887" s="189" t="str">
        <f ca="1">IFERROR(__xludf.DUMMYFUNCTION("""COMPUTED_VALUE"""),"J")</f>
        <v>J</v>
      </c>
      <c r="G887" s="189">
        <f ca="1">IFERROR(__xludf.DUMMYFUNCTION("""COMPUTED_VALUE"""),8)</f>
        <v>8</v>
      </c>
      <c r="H887" s="196" t="s">
        <v>389</v>
      </c>
      <c r="I887" s="196"/>
      <c r="J887" s="196" t="s">
        <v>29</v>
      </c>
      <c r="K887" s="196"/>
      <c r="L887" s="196" t="str">
        <v xml:space="preserve"> 15.25</v>
      </c>
      <c r="M887" s="196"/>
    </row>
    <row r="888" spans="1:13" ht="14.4" x14ac:dyDescent="0.3">
      <c r="A888" s="189" t="str">
        <f ca="1">IFERROR(__xludf.DUMMYFUNCTION("""COMPUTED_VALUE"""),"HSC")</f>
        <v>HSC</v>
      </c>
      <c r="B888" s="195" t="str">
        <f ca="1">IFERROR(__xludf.DUMMYFUNCTION("""COMPUTED_VALUE"""),"Soraya Hashemi")</f>
        <v>Soraya Hashemi</v>
      </c>
      <c r="C888" s="189">
        <f ca="1">IFERROR(__xludf.DUMMYFUNCTION("""COMPUTED_VALUE"""),9)</f>
        <v>9</v>
      </c>
      <c r="D888" s="189" t="str">
        <f ca="1">IFERROR(__xludf.DUMMYFUNCTION("""COMPUTED_VALUE"""),"G")</f>
        <v>G</v>
      </c>
      <c r="E888" s="189" t="str">
        <f ca="1">IFERROR(__xludf.DUMMYFUNCTION("""COMPUTED_VALUE"""),"F")</f>
        <v>F</v>
      </c>
      <c r="F888" s="189" t="str">
        <f ca="1">IFERROR(__xludf.DUMMYFUNCTION("""COMPUTED_VALUE"""),"J")</f>
        <v>J</v>
      </c>
      <c r="G888" s="189">
        <f ca="1">IFERROR(__xludf.DUMMYFUNCTION("""COMPUTED_VALUE"""),8)</f>
        <v>8</v>
      </c>
      <c r="H888" s="196"/>
      <c r="I888" s="196"/>
      <c r="J888" s="196"/>
      <c r="K888" s="196"/>
      <c r="L888" s="196" t="str">
        <v/>
      </c>
      <c r="M888" s="196"/>
    </row>
    <row r="889" spans="1:13" ht="14.4" x14ac:dyDescent="0.3">
      <c r="A889" s="189" t="str">
        <f ca="1">IFERROR(__xludf.DUMMYFUNCTION("""COMPUTED_VALUE"""),"HSC")</f>
        <v>HSC</v>
      </c>
      <c r="B889" s="195" t="str">
        <f ca="1">IFERROR(__xludf.DUMMYFUNCTION("""COMPUTED_VALUE"""),"Stella Pierre")</f>
        <v>Stella Pierre</v>
      </c>
      <c r="C889" s="189">
        <f ca="1">IFERROR(__xludf.DUMMYFUNCTION("""COMPUTED_VALUE"""),6)</f>
        <v>6</v>
      </c>
      <c r="D889" s="189" t="str">
        <f ca="1">IFERROR(__xludf.DUMMYFUNCTION("""COMPUTED_VALUE"""),"G")</f>
        <v>G</v>
      </c>
      <c r="E889" s="189" t="str">
        <f ca="1">IFERROR(__xludf.DUMMYFUNCTION("""COMPUTED_VALUE"""),"F")</f>
        <v>F</v>
      </c>
      <c r="F889" s="189" t="str">
        <f ca="1">IFERROR(__xludf.DUMMYFUNCTION("""COMPUTED_VALUE"""),"J")</f>
        <v>J</v>
      </c>
      <c r="G889" s="189">
        <f ca="1">IFERROR(__xludf.DUMMYFUNCTION("""COMPUTED_VALUE"""),8)</f>
        <v>8</v>
      </c>
      <c r="H889" s="196" t="s">
        <v>390</v>
      </c>
      <c r="I889" s="196"/>
      <c r="J889" s="196" t="s">
        <v>29</v>
      </c>
      <c r="K889" s="196"/>
      <c r="L889" s="196" t="str">
        <v xml:space="preserve"> 8.50</v>
      </c>
      <c r="M889" s="196"/>
    </row>
    <row r="890" spans="1:13" ht="14.4" x14ac:dyDescent="0.3">
      <c r="A890" s="189" t="str">
        <f ca="1">IFERROR(__xludf.DUMMYFUNCTION("""COMPUTED_VALUE"""),"HSC")</f>
        <v>HSC</v>
      </c>
      <c r="B890" s="195" t="str">
        <f ca="1">IFERROR(__xludf.DUMMYFUNCTION("""COMPUTED_VALUE"""),"Beau Rosser")</f>
        <v>Beau Rosser</v>
      </c>
      <c r="C890" s="189">
        <f ca="1">IFERROR(__xludf.DUMMYFUNCTION("""COMPUTED_VALUE"""),5)</f>
        <v>5</v>
      </c>
      <c r="D890" s="189" t="str">
        <f ca="1">IFERROR(__xludf.DUMMYFUNCTION("""COMPUTED_VALUE"""),"B")</f>
        <v>B</v>
      </c>
      <c r="E890" s="189" t="str">
        <f ca="1">IFERROR(__xludf.DUMMYFUNCTION("""COMPUTED_VALUE"""),"F")</f>
        <v>F</v>
      </c>
      <c r="F890" s="189" t="str">
        <f ca="1">IFERROR(__xludf.DUMMYFUNCTION("""COMPUTED_VALUE"""),"J")</f>
        <v>J</v>
      </c>
      <c r="G890" s="189">
        <f ca="1">IFERROR(__xludf.DUMMYFUNCTION("""COMPUTED_VALUE"""),8)</f>
        <v>8</v>
      </c>
      <c r="H890" s="196"/>
      <c r="I890" s="196"/>
      <c r="J890" s="196"/>
      <c r="K890" s="196"/>
      <c r="L890" s="196" t="str">
        <v/>
      </c>
      <c r="M890" s="196"/>
    </row>
    <row r="891" spans="1:13" ht="14.4" x14ac:dyDescent="0.3">
      <c r="A891" s="189" t="str">
        <f ca="1">IFERROR(__xludf.DUMMYFUNCTION("""COMPUTED_VALUE"""),"HSC")</f>
        <v>HSC</v>
      </c>
      <c r="B891" s="195" t="str">
        <f ca="1">IFERROR(__xludf.DUMMYFUNCTION("""COMPUTED_VALUE"""),"Jackson Zuroweste")</f>
        <v>Jackson Zuroweste</v>
      </c>
      <c r="C891" s="189">
        <f ca="1">IFERROR(__xludf.DUMMYFUNCTION("""COMPUTED_VALUE"""),8)</f>
        <v>8</v>
      </c>
      <c r="D891" s="189" t="str">
        <f ca="1">IFERROR(__xludf.DUMMYFUNCTION("""COMPUTED_VALUE"""),"B")</f>
        <v>B</v>
      </c>
      <c r="E891" s="189" t="str">
        <f ca="1">IFERROR(__xludf.DUMMYFUNCTION("""COMPUTED_VALUE"""),"F")</f>
        <v>F</v>
      </c>
      <c r="F891" s="189" t="str">
        <f ca="1">IFERROR(__xludf.DUMMYFUNCTION("""COMPUTED_VALUE"""),"J")</f>
        <v>J</v>
      </c>
      <c r="G891" s="189">
        <f ca="1">IFERROR(__xludf.DUMMYFUNCTION("""COMPUTED_VALUE"""),8)</f>
        <v>8</v>
      </c>
      <c r="H891" s="196"/>
      <c r="I891" s="196"/>
      <c r="J891" s="196"/>
      <c r="K891" s="196"/>
      <c r="L891" s="196" t="str">
        <v/>
      </c>
      <c r="M891" s="196"/>
    </row>
    <row r="892" spans="1:13" ht="14.4" x14ac:dyDescent="0.3">
      <c r="A892" s="189" t="str">
        <f ca="1">IFERROR(__xludf.DUMMYFUNCTION("""COMPUTED_VALUE"""),"HSC")</f>
        <v>HSC</v>
      </c>
      <c r="B892" s="195" t="str">
        <f ca="1">IFERROR(__xludf.DUMMYFUNCTION("""COMPUTED_VALUE"""),"Logan Thornsbury")</f>
        <v>Logan Thornsbury</v>
      </c>
      <c r="C892" s="189">
        <f ca="1">IFERROR(__xludf.DUMMYFUNCTION("""COMPUTED_VALUE"""),10)</f>
        <v>10</v>
      </c>
      <c r="D892" s="189" t="str">
        <f ca="1">IFERROR(__xludf.DUMMYFUNCTION("""COMPUTED_VALUE"""),"B")</f>
        <v>B</v>
      </c>
      <c r="E892" s="189" t="str">
        <f ca="1">IFERROR(__xludf.DUMMYFUNCTION("""COMPUTED_VALUE"""),"F")</f>
        <v>F</v>
      </c>
      <c r="F892" s="189" t="str">
        <f ca="1">IFERROR(__xludf.DUMMYFUNCTION("""COMPUTED_VALUE"""),"J")</f>
        <v>J</v>
      </c>
      <c r="G892" s="189">
        <f ca="1">IFERROR(__xludf.DUMMYFUNCTION("""COMPUTED_VALUE"""),8)</f>
        <v>8</v>
      </c>
      <c r="H892" s="196"/>
      <c r="I892" s="196"/>
      <c r="J892" s="196"/>
      <c r="K892" s="196"/>
      <c r="L892" s="196" t="str">
        <v/>
      </c>
      <c r="M892" s="196"/>
    </row>
    <row r="893" spans="1:13" ht="14.4" x14ac:dyDescent="0.3">
      <c r="A893" s="189" t="str">
        <f ca="1">IFERROR(__xludf.DUMMYFUNCTION("""COMPUTED_VALUE"""),"HSC")</f>
        <v>HSC</v>
      </c>
      <c r="B893" s="195" t="str">
        <f ca="1">IFERROR(__xludf.DUMMYFUNCTION("""COMPUTED_VALUE"""),"Noah Collazo")</f>
        <v>Noah Collazo</v>
      </c>
      <c r="C893" s="189">
        <f ca="1">IFERROR(__xludf.DUMMYFUNCTION("""COMPUTED_VALUE"""),7)</f>
        <v>7</v>
      </c>
      <c r="D893" s="189" t="str">
        <f ca="1">IFERROR(__xludf.DUMMYFUNCTION("""COMPUTED_VALUE"""),"B")</f>
        <v>B</v>
      </c>
      <c r="E893" s="189" t="str">
        <f ca="1">IFERROR(__xludf.DUMMYFUNCTION("""COMPUTED_VALUE"""),"F")</f>
        <v>F</v>
      </c>
      <c r="F893" s="189" t="str">
        <f ca="1">IFERROR(__xludf.DUMMYFUNCTION("""COMPUTED_VALUE"""),"J")</f>
        <v>J</v>
      </c>
      <c r="G893" s="189">
        <f ca="1">IFERROR(__xludf.DUMMYFUNCTION("""COMPUTED_VALUE"""),8)</f>
        <v>8</v>
      </c>
      <c r="H893" s="196"/>
      <c r="I893" s="196"/>
      <c r="J893" s="196"/>
      <c r="K893" s="196"/>
      <c r="L893" s="196" t="str">
        <v/>
      </c>
      <c r="M893" s="196"/>
    </row>
    <row r="894" spans="1:13" ht="14.4" x14ac:dyDescent="0.3">
      <c r="A894" s="189" t="str">
        <f ca="1">IFERROR(__xludf.DUMMYFUNCTION("""COMPUTED_VALUE"""),"HSC")</f>
        <v>HSC</v>
      </c>
      <c r="B894" s="195" t="str">
        <f ca="1">IFERROR(__xludf.DUMMYFUNCTION("""COMPUTED_VALUE"""),"Parsa Tavakol")</f>
        <v>Parsa Tavakol</v>
      </c>
      <c r="C894" s="189">
        <f ca="1">IFERROR(__xludf.DUMMYFUNCTION("""COMPUTED_VALUE"""),6)</f>
        <v>6</v>
      </c>
      <c r="D894" s="189" t="str">
        <f ca="1">IFERROR(__xludf.DUMMYFUNCTION("""COMPUTED_VALUE"""),"B")</f>
        <v>B</v>
      </c>
      <c r="E894" s="189" t="str">
        <f ca="1">IFERROR(__xludf.DUMMYFUNCTION("""COMPUTED_VALUE"""),"F")</f>
        <v>F</v>
      </c>
      <c r="F894" s="189" t="str">
        <f ca="1">IFERROR(__xludf.DUMMYFUNCTION("""COMPUTED_VALUE"""),"J")</f>
        <v>J</v>
      </c>
      <c r="G894" s="189">
        <f ca="1">IFERROR(__xludf.DUMMYFUNCTION("""COMPUTED_VALUE"""),8)</f>
        <v>8</v>
      </c>
      <c r="H894" s="196"/>
      <c r="I894" s="196"/>
      <c r="J894" s="196"/>
      <c r="K894" s="196"/>
      <c r="L894" s="196" t="str">
        <v/>
      </c>
      <c r="M894" s="196"/>
    </row>
    <row r="895" spans="1:13" ht="14.4" x14ac:dyDescent="0.3">
      <c r="A895" s="189" t="str">
        <f ca="1">IFERROR(__xludf.DUMMYFUNCTION("""COMPUTED_VALUE"""),"HSC")</f>
        <v>HSC</v>
      </c>
      <c r="B895" s="195" t="str">
        <f ca="1">IFERROR(__xludf.DUMMYFUNCTION("""COMPUTED_VALUE"""),"Sam Rosser")</f>
        <v>Sam Rosser</v>
      </c>
      <c r="C895" s="189">
        <f ca="1">IFERROR(__xludf.DUMMYFUNCTION("""COMPUTED_VALUE"""),10)</f>
        <v>10</v>
      </c>
      <c r="D895" s="189" t="str">
        <f ca="1">IFERROR(__xludf.DUMMYFUNCTION("""COMPUTED_VALUE"""),"B")</f>
        <v>B</v>
      </c>
      <c r="E895" s="189" t="str">
        <f ca="1">IFERROR(__xludf.DUMMYFUNCTION("""COMPUTED_VALUE"""),"F")</f>
        <v>F</v>
      </c>
      <c r="F895" s="189" t="str">
        <f ca="1">IFERROR(__xludf.DUMMYFUNCTION("""COMPUTED_VALUE"""),"J")</f>
        <v>J</v>
      </c>
      <c r="G895" s="189">
        <f ca="1">IFERROR(__xludf.DUMMYFUNCTION("""COMPUTED_VALUE"""),8)</f>
        <v>8</v>
      </c>
      <c r="H895" s="196"/>
      <c r="I895" s="196"/>
      <c r="J895" s="196"/>
      <c r="K895" s="196"/>
      <c r="L895" s="196" t="str">
        <v/>
      </c>
      <c r="M895" s="196"/>
    </row>
    <row r="896" spans="1:13" ht="14.4" x14ac:dyDescent="0.3">
      <c r="A896" s="189" t="str">
        <f ca="1">IFERROR(__xludf.DUMMYFUNCTION("""COMPUTED_VALUE"""),"HSC")</f>
        <v>HSC</v>
      </c>
      <c r="B896" s="195" t="str">
        <f ca="1">IFERROR(__xludf.DUMMYFUNCTION("""COMPUTED_VALUE"""),"Wyatt Doak")</f>
        <v>Wyatt Doak</v>
      </c>
      <c r="C896" s="189">
        <f ca="1">IFERROR(__xludf.DUMMYFUNCTION("""COMPUTED_VALUE"""),10)</f>
        <v>10</v>
      </c>
      <c r="D896" s="189" t="str">
        <f ca="1">IFERROR(__xludf.DUMMYFUNCTION("""COMPUTED_VALUE"""),"B")</f>
        <v>B</v>
      </c>
      <c r="E896" s="189" t="str">
        <f ca="1">IFERROR(__xludf.DUMMYFUNCTION("""COMPUTED_VALUE"""),"F")</f>
        <v>F</v>
      </c>
      <c r="F896" s="189" t="str">
        <f ca="1">IFERROR(__xludf.DUMMYFUNCTION("""COMPUTED_VALUE"""),"J")</f>
        <v>J</v>
      </c>
      <c r="G896" s="189">
        <f ca="1">IFERROR(__xludf.DUMMYFUNCTION("""COMPUTED_VALUE"""),8)</f>
        <v>8</v>
      </c>
      <c r="H896" s="196"/>
      <c r="I896" s="196"/>
      <c r="J896" s="196"/>
      <c r="K896" s="196"/>
      <c r="L896" s="196" t="str">
        <v/>
      </c>
      <c r="M896" s="196"/>
    </row>
    <row r="897" spans="1:13" ht="14.4" x14ac:dyDescent="0.3">
      <c r="A897" s="189" t="str">
        <f ca="1">IFERROR(__xludf.DUMMYFUNCTION("""COMPUTED_VALUE"""),"HSC")</f>
        <v>HSC</v>
      </c>
      <c r="B897" s="195" t="str">
        <f ca="1">IFERROR(__xludf.DUMMYFUNCTION("""COMPUTED_VALUE"""),"Abby Pickard")</f>
        <v>Abby Pickard</v>
      </c>
      <c r="C897" s="189">
        <f ca="1">IFERROR(__xludf.DUMMYFUNCTION("""COMPUTED_VALUE"""),13)</f>
        <v>13</v>
      </c>
      <c r="D897" s="189" t="str">
        <f ca="1">IFERROR(__xludf.DUMMYFUNCTION("""COMPUTED_VALUE"""),"G")</f>
        <v>G</v>
      </c>
      <c r="E897" s="189" t="str">
        <f ca="1">IFERROR(__xludf.DUMMYFUNCTION("""COMPUTED_VALUE"""),"I")</f>
        <v>I</v>
      </c>
      <c r="F897" s="189" t="str">
        <f ca="1">IFERROR(__xludf.DUMMYFUNCTION("""COMPUTED_VALUE"""),"S")</f>
        <v>S</v>
      </c>
      <c r="G897" s="189">
        <f ca="1">IFERROR(__xludf.DUMMYFUNCTION("""COMPUTED_VALUE"""),8)</f>
        <v>8</v>
      </c>
      <c r="H897" s="196" t="s">
        <v>391</v>
      </c>
      <c r="I897" s="196"/>
      <c r="J897" s="196" t="s">
        <v>29</v>
      </c>
      <c r="K897" s="196"/>
      <c r="L897" s="196" t="str">
        <v xml:space="preserve"> 105.20</v>
      </c>
      <c r="M897" s="196"/>
    </row>
    <row r="898" spans="1:13" ht="14.4" x14ac:dyDescent="0.3">
      <c r="A898" s="189" t="str">
        <f ca="1">IFERROR(__xludf.DUMMYFUNCTION("""COMPUTED_VALUE"""),"HSC")</f>
        <v>HSC</v>
      </c>
      <c r="B898" s="195" t="str">
        <f ca="1">IFERROR(__xludf.DUMMYFUNCTION("""COMPUTED_VALUE"""),"Anna Pereira Kim")</f>
        <v>Anna Pereira Kim</v>
      </c>
      <c r="C898" s="189">
        <f ca="1">IFERROR(__xludf.DUMMYFUNCTION("""COMPUTED_VALUE"""),13)</f>
        <v>13</v>
      </c>
      <c r="D898" s="189" t="str">
        <f ca="1">IFERROR(__xludf.DUMMYFUNCTION("""COMPUTED_VALUE"""),"G")</f>
        <v>G</v>
      </c>
      <c r="E898" s="189" t="str">
        <f ca="1">IFERROR(__xludf.DUMMYFUNCTION("""COMPUTED_VALUE"""),"I")</f>
        <v>I</v>
      </c>
      <c r="F898" s="189" t="str">
        <f ca="1">IFERROR(__xludf.DUMMYFUNCTION("""COMPUTED_VALUE"""),"S")</f>
        <v>S</v>
      </c>
      <c r="G898" s="189">
        <f ca="1">IFERROR(__xludf.DUMMYFUNCTION("""COMPUTED_VALUE"""),8)</f>
        <v>8</v>
      </c>
      <c r="H898" s="196" t="s">
        <v>392</v>
      </c>
      <c r="I898" s="196"/>
      <c r="J898" s="196" t="s">
        <v>29</v>
      </c>
      <c r="K898" s="196"/>
      <c r="L898" s="196" t="str">
        <v xml:space="preserve"> 107.20</v>
      </c>
      <c r="M898" s="196"/>
    </row>
    <row r="899" spans="1:13" ht="14.4" x14ac:dyDescent="0.3">
      <c r="A899" s="189" t="str">
        <f ca="1">IFERROR(__xludf.DUMMYFUNCTION("""COMPUTED_VALUE"""),"HSC")</f>
        <v>HSC</v>
      </c>
      <c r="B899" s="195" t="str">
        <f ca="1">IFERROR(__xludf.DUMMYFUNCTION("""COMPUTED_VALUE"""),"Campbell Kurpiel")</f>
        <v>Campbell Kurpiel</v>
      </c>
      <c r="C899" s="189">
        <f ca="1">IFERROR(__xludf.DUMMYFUNCTION("""COMPUTED_VALUE"""),13)</f>
        <v>13</v>
      </c>
      <c r="D899" s="189" t="str">
        <f ca="1">IFERROR(__xludf.DUMMYFUNCTION("""COMPUTED_VALUE"""),"G")</f>
        <v>G</v>
      </c>
      <c r="E899" s="189" t="str">
        <f ca="1">IFERROR(__xludf.DUMMYFUNCTION("""COMPUTED_VALUE"""),"I")</f>
        <v>I</v>
      </c>
      <c r="F899" s="189" t="str">
        <f ca="1">IFERROR(__xludf.DUMMYFUNCTION("""COMPUTED_VALUE"""),"S")</f>
        <v>S</v>
      </c>
      <c r="G899" s="189">
        <f ca="1">IFERROR(__xludf.DUMMYFUNCTION("""COMPUTED_VALUE"""),8)</f>
        <v>8</v>
      </c>
      <c r="H899" s="196"/>
      <c r="I899" s="196"/>
      <c r="J899" s="196"/>
      <c r="K899" s="196"/>
      <c r="L899" s="196" t="str">
        <v/>
      </c>
      <c r="M899" s="196"/>
    </row>
    <row r="900" spans="1:13" ht="14.4" x14ac:dyDescent="0.3">
      <c r="A900" s="189" t="str">
        <f ca="1">IFERROR(__xludf.DUMMYFUNCTION("""COMPUTED_VALUE"""),"HSC")</f>
        <v>HSC</v>
      </c>
      <c r="B900" s="195" t="str">
        <f ca="1">IFERROR(__xludf.DUMMYFUNCTION("""COMPUTED_VALUE"""),"Erin Kass")</f>
        <v>Erin Kass</v>
      </c>
      <c r="C900" s="189">
        <f ca="1">IFERROR(__xludf.DUMMYFUNCTION("""COMPUTED_VALUE"""),13)</f>
        <v>13</v>
      </c>
      <c r="D900" s="189" t="str">
        <f ca="1">IFERROR(__xludf.DUMMYFUNCTION("""COMPUTED_VALUE"""),"G")</f>
        <v>G</v>
      </c>
      <c r="E900" s="189" t="str">
        <f ca="1">IFERROR(__xludf.DUMMYFUNCTION("""COMPUTED_VALUE"""),"I")</f>
        <v>I</v>
      </c>
      <c r="F900" s="189" t="str">
        <f ca="1">IFERROR(__xludf.DUMMYFUNCTION("""COMPUTED_VALUE"""),"S")</f>
        <v>S</v>
      </c>
      <c r="G900" s="189">
        <f ca="1">IFERROR(__xludf.DUMMYFUNCTION("""COMPUTED_VALUE"""),8)</f>
        <v>8</v>
      </c>
      <c r="H900" s="196"/>
      <c r="I900" s="196"/>
      <c r="J900" s="196"/>
      <c r="K900" s="196"/>
      <c r="L900" s="196" t="str">
        <v/>
      </c>
      <c r="M900" s="196"/>
    </row>
    <row r="901" spans="1:13" ht="14.4" x14ac:dyDescent="0.3">
      <c r="A901" s="189" t="str">
        <f ca="1">IFERROR(__xludf.DUMMYFUNCTION("""COMPUTED_VALUE"""),"HSC")</f>
        <v>HSC</v>
      </c>
      <c r="B901" s="195" t="str">
        <f ca="1">IFERROR(__xludf.DUMMYFUNCTION("""COMPUTED_VALUE"""),"Miah Collazo")</f>
        <v>Miah Collazo</v>
      </c>
      <c r="C901" s="189">
        <f ca="1">IFERROR(__xludf.DUMMYFUNCTION("""COMPUTED_VALUE"""),13)</f>
        <v>13</v>
      </c>
      <c r="D901" s="189" t="str">
        <f ca="1">IFERROR(__xludf.DUMMYFUNCTION("""COMPUTED_VALUE"""),"G")</f>
        <v>G</v>
      </c>
      <c r="E901" s="189" t="str">
        <f ca="1">IFERROR(__xludf.DUMMYFUNCTION("""COMPUTED_VALUE"""),"I")</f>
        <v>I</v>
      </c>
      <c r="F901" s="189" t="str">
        <f ca="1">IFERROR(__xludf.DUMMYFUNCTION("""COMPUTED_VALUE"""),"S")</f>
        <v>S</v>
      </c>
      <c r="G901" s="189">
        <f ca="1">IFERROR(__xludf.DUMMYFUNCTION("""COMPUTED_VALUE"""),8)</f>
        <v>8</v>
      </c>
      <c r="H901" s="196"/>
      <c r="I901" s="196"/>
      <c r="J901" s="196"/>
      <c r="K901" s="196"/>
      <c r="L901" s="196" t="str">
        <v/>
      </c>
      <c r="M901" s="196"/>
    </row>
    <row r="902" spans="1:13" ht="14.4" x14ac:dyDescent="0.3">
      <c r="A902" s="189" t="str">
        <f ca="1">IFERROR(__xludf.DUMMYFUNCTION("""COMPUTED_VALUE"""),"HSC")</f>
        <v>HSC</v>
      </c>
      <c r="B902" s="195" t="str">
        <f ca="1">IFERROR(__xludf.DUMMYFUNCTION("""COMPUTED_VALUE"""),"Alan Fu")</f>
        <v>Alan Fu</v>
      </c>
      <c r="C902" s="189">
        <f ca="1">IFERROR(__xludf.DUMMYFUNCTION("""COMPUTED_VALUE"""),14)</f>
        <v>14</v>
      </c>
      <c r="D902" s="189" t="str">
        <f ca="1">IFERROR(__xludf.DUMMYFUNCTION("""COMPUTED_VALUE"""),"B")</f>
        <v>B</v>
      </c>
      <c r="E902" s="189" t="str">
        <f ca="1">IFERROR(__xludf.DUMMYFUNCTION("""COMPUTED_VALUE"""),"I")</f>
        <v>I</v>
      </c>
      <c r="F902" s="189" t="str">
        <f ca="1">IFERROR(__xludf.DUMMYFUNCTION("""COMPUTED_VALUE"""),"S")</f>
        <v>S</v>
      </c>
      <c r="G902" s="189">
        <f ca="1">IFERROR(__xludf.DUMMYFUNCTION("""COMPUTED_VALUE"""),8)</f>
        <v>8</v>
      </c>
      <c r="H902" s="196"/>
      <c r="I902" s="196"/>
      <c r="J902" s="196"/>
      <c r="K902" s="196"/>
      <c r="L902" s="196" t="str">
        <v/>
      </c>
      <c r="M902" s="196"/>
    </row>
    <row r="903" spans="1:13" ht="14.4" x14ac:dyDescent="0.3">
      <c r="A903" s="189" t="str">
        <f ca="1">IFERROR(__xludf.DUMMYFUNCTION("""COMPUTED_VALUE"""),"HSC")</f>
        <v>HSC</v>
      </c>
      <c r="B903" s="195" t="str">
        <f ca="1">IFERROR(__xludf.DUMMYFUNCTION("""COMPUTED_VALUE"""),"Jacob Ross")</f>
        <v>Jacob Ross</v>
      </c>
      <c r="C903" s="189">
        <f ca="1">IFERROR(__xludf.DUMMYFUNCTION("""COMPUTED_VALUE"""),13)</f>
        <v>13</v>
      </c>
      <c r="D903" s="189" t="str">
        <f ca="1">IFERROR(__xludf.DUMMYFUNCTION("""COMPUTED_VALUE"""),"B")</f>
        <v>B</v>
      </c>
      <c r="E903" s="189" t="str">
        <f ca="1">IFERROR(__xludf.DUMMYFUNCTION("""COMPUTED_VALUE"""),"I")</f>
        <v>I</v>
      </c>
      <c r="F903" s="189" t="str">
        <f ca="1">IFERROR(__xludf.DUMMYFUNCTION("""COMPUTED_VALUE"""),"S")</f>
        <v>S</v>
      </c>
      <c r="G903" s="189">
        <f ca="1">IFERROR(__xludf.DUMMYFUNCTION("""COMPUTED_VALUE"""),8)</f>
        <v>8</v>
      </c>
      <c r="H903" s="196"/>
      <c r="I903" s="196"/>
      <c r="J903" s="196"/>
      <c r="K903" s="196"/>
      <c r="L903" s="196" t="str">
        <v/>
      </c>
      <c r="M903" s="196"/>
    </row>
    <row r="904" spans="1:13" ht="14.4" x14ac:dyDescent="0.3">
      <c r="A904" s="189" t="str">
        <f ca="1">IFERROR(__xludf.DUMMYFUNCTION("""COMPUTED_VALUE"""),"HSC")</f>
        <v>HSC</v>
      </c>
      <c r="B904" s="195" t="str">
        <f ca="1">IFERROR(__xludf.DUMMYFUNCTION("""COMPUTED_VALUE"""),"Ronin Thornsbury")</f>
        <v>Ronin Thornsbury</v>
      </c>
      <c r="C904" s="189">
        <f ca="1">IFERROR(__xludf.DUMMYFUNCTION("""COMPUTED_VALUE"""),13)</f>
        <v>13</v>
      </c>
      <c r="D904" s="189" t="str">
        <f ca="1">IFERROR(__xludf.DUMMYFUNCTION("""COMPUTED_VALUE"""),"B")</f>
        <v>B</v>
      </c>
      <c r="E904" s="189" t="str">
        <f ca="1">IFERROR(__xludf.DUMMYFUNCTION("""COMPUTED_VALUE"""),"I")</f>
        <v>I</v>
      </c>
      <c r="F904" s="189" t="str">
        <f ca="1">IFERROR(__xludf.DUMMYFUNCTION("""COMPUTED_VALUE"""),"S")</f>
        <v>S</v>
      </c>
      <c r="G904" s="189">
        <f ca="1">IFERROR(__xludf.DUMMYFUNCTION("""COMPUTED_VALUE"""),8)</f>
        <v>8</v>
      </c>
      <c r="H904" s="196"/>
      <c r="I904" s="196"/>
      <c r="J904" s="196"/>
      <c r="K904" s="196"/>
      <c r="L904" s="196" t="str">
        <v/>
      </c>
      <c r="M904" s="196"/>
    </row>
    <row r="905" spans="1:13" ht="14.4" x14ac:dyDescent="0.3">
      <c r="A905" s="189" t="str">
        <f ca="1">IFERROR(__xludf.DUMMYFUNCTION("""COMPUTED_VALUE"""),"HSC")</f>
        <v>HSC</v>
      </c>
      <c r="B905" s="195" t="str">
        <f ca="1">IFERROR(__xludf.DUMMYFUNCTION("""COMPUTED_VALUE"""),"Abby Desai")</f>
        <v>Abby Desai</v>
      </c>
      <c r="C905" s="189">
        <f ca="1">IFERROR(__xludf.DUMMYFUNCTION("""COMPUTED_VALUE"""),11)</f>
        <v>11</v>
      </c>
      <c r="D905" s="189" t="str">
        <f ca="1">IFERROR(__xludf.DUMMYFUNCTION("""COMPUTED_VALUE"""),"G")</f>
        <v>G</v>
      </c>
      <c r="E905" s="189" t="str">
        <f ca="1">IFERROR(__xludf.DUMMYFUNCTION("""COMPUTED_VALUE"""),"J")</f>
        <v>J</v>
      </c>
      <c r="F905" s="189" t="str">
        <f ca="1">IFERROR(__xludf.DUMMYFUNCTION("""COMPUTED_VALUE"""),"I")</f>
        <v>I</v>
      </c>
      <c r="G905" s="189">
        <f ca="1">IFERROR(__xludf.DUMMYFUNCTION("""COMPUTED_VALUE"""),8)</f>
        <v>8</v>
      </c>
      <c r="H905" s="196"/>
      <c r="I905" s="196"/>
      <c r="J905" s="196"/>
      <c r="K905" s="196"/>
      <c r="L905" s="196" t="str">
        <v/>
      </c>
      <c r="M905" s="196"/>
    </row>
    <row r="906" spans="1:13" ht="14.4" x14ac:dyDescent="0.3">
      <c r="A906" s="189" t="str">
        <f ca="1">IFERROR(__xludf.DUMMYFUNCTION("""COMPUTED_VALUE"""),"HSC")</f>
        <v>HSC</v>
      </c>
      <c r="B906" s="195" t="str">
        <f ca="1">IFERROR(__xludf.DUMMYFUNCTION("""COMPUTED_VALUE"""),"Alexandra Steber")</f>
        <v>Alexandra Steber</v>
      </c>
      <c r="C906" s="189">
        <f ca="1">IFERROR(__xludf.DUMMYFUNCTION("""COMPUTED_VALUE"""),12)</f>
        <v>12</v>
      </c>
      <c r="D906" s="189" t="str">
        <f ca="1">IFERROR(__xludf.DUMMYFUNCTION("""COMPUTED_VALUE"""),"G")</f>
        <v>G</v>
      </c>
      <c r="E906" s="189" t="str">
        <f ca="1">IFERROR(__xludf.DUMMYFUNCTION("""COMPUTED_VALUE"""),"J")</f>
        <v>J</v>
      </c>
      <c r="F906" s="189" t="str">
        <f ca="1">IFERROR(__xludf.DUMMYFUNCTION("""COMPUTED_VALUE"""),"I")</f>
        <v>I</v>
      </c>
      <c r="G906" s="189">
        <f ca="1">IFERROR(__xludf.DUMMYFUNCTION("""COMPUTED_VALUE"""),8)</f>
        <v>8</v>
      </c>
      <c r="H906" s="196"/>
      <c r="I906" s="196"/>
      <c r="J906" s="196"/>
      <c r="K906" s="196"/>
      <c r="L906" s="196" t="str">
        <v/>
      </c>
      <c r="M906" s="196"/>
    </row>
    <row r="907" spans="1:13" ht="14.4" x14ac:dyDescent="0.3">
      <c r="A907" s="189" t="str">
        <f ca="1">IFERROR(__xludf.DUMMYFUNCTION("""COMPUTED_VALUE"""),"HSC")</f>
        <v>HSC</v>
      </c>
      <c r="B907" s="195" t="str">
        <f ca="1">IFERROR(__xludf.DUMMYFUNCTION("""COMPUTED_VALUE"""),"Artemisia Hashemi")</f>
        <v>Artemisia Hashemi</v>
      </c>
      <c r="C907" s="189">
        <f ca="1">IFERROR(__xludf.DUMMYFUNCTION("""COMPUTED_VALUE"""),11)</f>
        <v>11</v>
      </c>
      <c r="D907" s="189" t="str">
        <f ca="1">IFERROR(__xludf.DUMMYFUNCTION("""COMPUTED_VALUE"""),"G")</f>
        <v>G</v>
      </c>
      <c r="E907" s="189" t="str">
        <f ca="1">IFERROR(__xludf.DUMMYFUNCTION("""COMPUTED_VALUE"""),"J")</f>
        <v>J</v>
      </c>
      <c r="F907" s="189" t="str">
        <f ca="1">IFERROR(__xludf.DUMMYFUNCTION("""COMPUTED_VALUE"""),"I")</f>
        <v>I</v>
      </c>
      <c r="G907" s="189">
        <f ca="1">IFERROR(__xludf.DUMMYFUNCTION("""COMPUTED_VALUE"""),8)</f>
        <v>8</v>
      </c>
      <c r="H907" s="196" t="s">
        <v>393</v>
      </c>
      <c r="I907" s="196"/>
      <c r="J907" s="196" t="s">
        <v>29</v>
      </c>
      <c r="K907" s="196"/>
      <c r="L907" s="196" t="str">
        <v xml:space="preserve"> 74.60</v>
      </c>
      <c r="M907" s="196"/>
    </row>
    <row r="908" spans="1:13" ht="14.4" x14ac:dyDescent="0.3">
      <c r="A908" s="189" t="str">
        <f ca="1">IFERROR(__xludf.DUMMYFUNCTION("""COMPUTED_VALUE"""),"HSC")</f>
        <v>HSC</v>
      </c>
      <c r="B908" s="195" t="str">
        <f ca="1">IFERROR(__xludf.DUMMYFUNCTION("""COMPUTED_VALUE"""),"Boyang Ma")</f>
        <v>Boyang Ma</v>
      </c>
      <c r="C908" s="189">
        <f ca="1">IFERROR(__xludf.DUMMYFUNCTION("""COMPUTED_VALUE"""),12)</f>
        <v>12</v>
      </c>
      <c r="D908" s="189" t="str">
        <f ca="1">IFERROR(__xludf.DUMMYFUNCTION("""COMPUTED_VALUE"""),"G")</f>
        <v>G</v>
      </c>
      <c r="E908" s="189" t="str">
        <f ca="1">IFERROR(__xludf.DUMMYFUNCTION("""COMPUTED_VALUE"""),"J")</f>
        <v>J</v>
      </c>
      <c r="F908" s="189" t="str">
        <f ca="1">IFERROR(__xludf.DUMMYFUNCTION("""COMPUTED_VALUE"""),"I")</f>
        <v>I</v>
      </c>
      <c r="G908" s="189">
        <f ca="1">IFERROR(__xludf.DUMMYFUNCTION("""COMPUTED_VALUE"""),8)</f>
        <v>8</v>
      </c>
      <c r="H908" s="196"/>
      <c r="I908" s="196"/>
      <c r="J908" s="196"/>
      <c r="K908" s="196"/>
      <c r="L908" s="196" t="str">
        <v/>
      </c>
      <c r="M908" s="196"/>
    </row>
    <row r="909" spans="1:13" ht="14.4" x14ac:dyDescent="0.3">
      <c r="A909" s="189" t="str">
        <f ca="1">IFERROR(__xludf.DUMMYFUNCTION("""COMPUTED_VALUE"""),"HSC")</f>
        <v>HSC</v>
      </c>
      <c r="B909" s="195" t="str">
        <f ca="1">IFERROR(__xludf.DUMMYFUNCTION("""COMPUTED_VALUE"""),"Elise Wise")</f>
        <v>Elise Wise</v>
      </c>
      <c r="C909" s="189">
        <f ca="1">IFERROR(__xludf.DUMMYFUNCTION("""COMPUTED_VALUE"""),12)</f>
        <v>12</v>
      </c>
      <c r="D909" s="189" t="str">
        <f ca="1">IFERROR(__xludf.DUMMYFUNCTION("""COMPUTED_VALUE"""),"G")</f>
        <v>G</v>
      </c>
      <c r="E909" s="189" t="str">
        <f ca="1">IFERROR(__xludf.DUMMYFUNCTION("""COMPUTED_VALUE"""),"J")</f>
        <v>J</v>
      </c>
      <c r="F909" s="189" t="str">
        <f ca="1">IFERROR(__xludf.DUMMYFUNCTION("""COMPUTED_VALUE"""),"I")</f>
        <v>I</v>
      </c>
      <c r="G909" s="189">
        <f ca="1">IFERROR(__xludf.DUMMYFUNCTION("""COMPUTED_VALUE"""),8)</f>
        <v>8</v>
      </c>
      <c r="H909" s="196" t="s">
        <v>394</v>
      </c>
      <c r="I909" s="196"/>
      <c r="J909" s="196" t="s">
        <v>29</v>
      </c>
      <c r="K909" s="196"/>
      <c r="L909" s="196" t="str">
        <v xml:space="preserve"> 72.05</v>
      </c>
      <c r="M909" s="196"/>
    </row>
    <row r="910" spans="1:13" ht="14.4" x14ac:dyDescent="0.3">
      <c r="A910" s="189" t="str">
        <f ca="1">IFERROR(__xludf.DUMMYFUNCTION("""COMPUTED_VALUE"""),"HSC")</f>
        <v>HSC</v>
      </c>
      <c r="B910" s="195" t="str">
        <f ca="1">IFERROR(__xludf.DUMMYFUNCTION("""COMPUTED_VALUE"""),"Kate Gentry")</f>
        <v>Kate Gentry</v>
      </c>
      <c r="C910" s="189">
        <f ca="1">IFERROR(__xludf.DUMMYFUNCTION("""COMPUTED_VALUE"""),12)</f>
        <v>12</v>
      </c>
      <c r="D910" s="189" t="str">
        <f ca="1">IFERROR(__xludf.DUMMYFUNCTION("""COMPUTED_VALUE"""),"G")</f>
        <v>G</v>
      </c>
      <c r="E910" s="189" t="str">
        <f ca="1">IFERROR(__xludf.DUMMYFUNCTION("""COMPUTED_VALUE"""),"J")</f>
        <v>J</v>
      </c>
      <c r="F910" s="189" t="str">
        <f ca="1">IFERROR(__xludf.DUMMYFUNCTION("""COMPUTED_VALUE"""),"I")</f>
        <v>I</v>
      </c>
      <c r="G910" s="189">
        <f ca="1">IFERROR(__xludf.DUMMYFUNCTION("""COMPUTED_VALUE"""),8)</f>
        <v>8</v>
      </c>
      <c r="H910" s="196" t="s">
        <v>395</v>
      </c>
      <c r="I910" s="196"/>
      <c r="J910" s="196" t="s">
        <v>29</v>
      </c>
      <c r="K910" s="196"/>
      <c r="L910" s="196" t="str">
        <v xml:space="preserve"> 92.85</v>
      </c>
      <c r="M910" s="196"/>
    </row>
    <row r="911" spans="1:13" ht="14.4" x14ac:dyDescent="0.3">
      <c r="A911" s="189" t="str">
        <f ca="1">IFERROR(__xludf.DUMMYFUNCTION("""COMPUTED_VALUE"""),"HSC")</f>
        <v>HSC</v>
      </c>
      <c r="B911" s="195" t="str">
        <f ca="1">IFERROR(__xludf.DUMMYFUNCTION("""COMPUTED_VALUE"""),"Margaret Franker")</f>
        <v>Margaret Franker</v>
      </c>
      <c r="C911" s="189">
        <f ca="1">IFERROR(__xludf.DUMMYFUNCTION("""COMPUTED_VALUE"""),12)</f>
        <v>12</v>
      </c>
      <c r="D911" s="189" t="str">
        <f ca="1">IFERROR(__xludf.DUMMYFUNCTION("""COMPUTED_VALUE"""),"G")</f>
        <v>G</v>
      </c>
      <c r="E911" s="189" t="str">
        <f ca="1">IFERROR(__xludf.DUMMYFUNCTION("""COMPUTED_VALUE"""),"J")</f>
        <v>J</v>
      </c>
      <c r="F911" s="189" t="str">
        <f ca="1">IFERROR(__xludf.DUMMYFUNCTION("""COMPUTED_VALUE"""),"I")</f>
        <v>I</v>
      </c>
      <c r="G911" s="189">
        <f ca="1">IFERROR(__xludf.DUMMYFUNCTION("""COMPUTED_VALUE"""),8)</f>
        <v>8</v>
      </c>
      <c r="H911" s="196"/>
      <c r="I911" s="196"/>
      <c r="J911" s="196"/>
      <c r="K911" s="196"/>
      <c r="L911" s="196" t="str">
        <v/>
      </c>
      <c r="M911" s="196"/>
    </row>
    <row r="912" spans="1:13" ht="14.4" x14ac:dyDescent="0.3">
      <c r="A912" s="189" t="str">
        <f ca="1">IFERROR(__xludf.DUMMYFUNCTION("""COMPUTED_VALUE"""),"HSC")</f>
        <v>HSC</v>
      </c>
      <c r="B912" s="195" t="str">
        <f ca="1">IFERROR(__xludf.DUMMYFUNCTION("""COMPUTED_VALUE"""),"Meera Bansal")</f>
        <v>Meera Bansal</v>
      </c>
      <c r="C912" s="189">
        <f ca="1">IFERROR(__xludf.DUMMYFUNCTION("""COMPUTED_VALUE"""),12)</f>
        <v>12</v>
      </c>
      <c r="D912" s="189" t="str">
        <f ca="1">IFERROR(__xludf.DUMMYFUNCTION("""COMPUTED_VALUE"""),"G")</f>
        <v>G</v>
      </c>
      <c r="E912" s="189" t="str">
        <f ca="1">IFERROR(__xludf.DUMMYFUNCTION("""COMPUTED_VALUE"""),"J")</f>
        <v>J</v>
      </c>
      <c r="F912" s="189" t="str">
        <f ca="1">IFERROR(__xludf.DUMMYFUNCTION("""COMPUTED_VALUE"""),"I")</f>
        <v>I</v>
      </c>
      <c r="G912" s="189">
        <f ca="1">IFERROR(__xludf.DUMMYFUNCTION("""COMPUTED_VALUE"""),8)</f>
        <v>8</v>
      </c>
      <c r="H912" s="196"/>
      <c r="I912" s="196"/>
      <c r="J912" s="196"/>
      <c r="K912" s="196"/>
      <c r="L912" s="196" t="str">
        <v/>
      </c>
      <c r="M912" s="196"/>
    </row>
    <row r="913" spans="1:13" ht="14.4" x14ac:dyDescent="0.3">
      <c r="A913" s="189" t="str">
        <f ca="1">IFERROR(__xludf.DUMMYFUNCTION("""COMPUTED_VALUE"""),"HSC")</f>
        <v>HSC</v>
      </c>
      <c r="B913" s="195" t="str">
        <f ca="1">IFERROR(__xludf.DUMMYFUNCTION("""COMPUTED_VALUE"""),"Radha Bansal")</f>
        <v>Radha Bansal</v>
      </c>
      <c r="C913" s="189">
        <f ca="1">IFERROR(__xludf.DUMMYFUNCTION("""COMPUTED_VALUE"""),11)</f>
        <v>11</v>
      </c>
      <c r="D913" s="189" t="str">
        <f ca="1">IFERROR(__xludf.DUMMYFUNCTION("""COMPUTED_VALUE"""),"G")</f>
        <v>G</v>
      </c>
      <c r="E913" s="189" t="str">
        <f ca="1">IFERROR(__xludf.DUMMYFUNCTION("""COMPUTED_VALUE"""),"J")</f>
        <v>J</v>
      </c>
      <c r="F913" s="189" t="str">
        <f ca="1">IFERROR(__xludf.DUMMYFUNCTION("""COMPUTED_VALUE"""),"I")</f>
        <v>I</v>
      </c>
      <c r="G913" s="189">
        <f ca="1">IFERROR(__xludf.DUMMYFUNCTION("""COMPUTED_VALUE"""),8)</f>
        <v>8</v>
      </c>
      <c r="H913" s="196"/>
      <c r="I913" s="196"/>
      <c r="J913" s="196"/>
      <c r="K913" s="196"/>
      <c r="L913" s="196" t="str">
        <v/>
      </c>
      <c r="M913" s="196"/>
    </row>
    <row r="914" spans="1:13" ht="14.4" x14ac:dyDescent="0.3">
      <c r="A914" s="189" t="str">
        <f ca="1">IFERROR(__xludf.DUMMYFUNCTION("""COMPUTED_VALUE"""),"HSC")</f>
        <v>HSC</v>
      </c>
      <c r="B914" s="195" t="str">
        <f ca="1">IFERROR(__xludf.DUMMYFUNCTION("""COMPUTED_VALUE"""),"Zhanna Doak")</f>
        <v>Zhanna Doak</v>
      </c>
      <c r="C914" s="189">
        <f ca="1">IFERROR(__xludf.DUMMYFUNCTION("""COMPUTED_VALUE"""),11)</f>
        <v>11</v>
      </c>
      <c r="D914" s="189" t="str">
        <f ca="1">IFERROR(__xludf.DUMMYFUNCTION("""COMPUTED_VALUE"""),"G")</f>
        <v>G</v>
      </c>
      <c r="E914" s="189" t="str">
        <f ca="1">IFERROR(__xludf.DUMMYFUNCTION("""COMPUTED_VALUE"""),"J")</f>
        <v>J</v>
      </c>
      <c r="F914" s="189" t="str">
        <f ca="1">IFERROR(__xludf.DUMMYFUNCTION("""COMPUTED_VALUE"""),"I")</f>
        <v>I</v>
      </c>
      <c r="G914" s="189">
        <f ca="1">IFERROR(__xludf.DUMMYFUNCTION("""COMPUTED_VALUE"""),8)</f>
        <v>8</v>
      </c>
      <c r="H914" s="196"/>
      <c r="I914" s="196"/>
      <c r="J914" s="196"/>
      <c r="K914" s="196"/>
      <c r="L914" s="196" t="str">
        <v/>
      </c>
      <c r="M914" s="196"/>
    </row>
    <row r="915" spans="1:13" ht="14.4" x14ac:dyDescent="0.3">
      <c r="A915" s="189" t="str">
        <f ca="1">IFERROR(__xludf.DUMMYFUNCTION("""COMPUTED_VALUE"""),"HSC")</f>
        <v>HSC</v>
      </c>
      <c r="B915" s="195" t="str">
        <f ca="1">IFERROR(__xludf.DUMMYFUNCTION("""COMPUTED_VALUE"""),"Connor Schilling")</f>
        <v>Connor Schilling</v>
      </c>
      <c r="C915" s="189">
        <f ca="1">IFERROR(__xludf.DUMMYFUNCTION("""COMPUTED_VALUE"""),11)</f>
        <v>11</v>
      </c>
      <c r="D915" s="189" t="str">
        <f ca="1">IFERROR(__xludf.DUMMYFUNCTION("""COMPUTED_VALUE"""),"B")</f>
        <v>B</v>
      </c>
      <c r="E915" s="189" t="str">
        <f ca="1">IFERROR(__xludf.DUMMYFUNCTION("""COMPUTED_VALUE"""),"J")</f>
        <v>J</v>
      </c>
      <c r="F915" s="189" t="str">
        <f ca="1">IFERROR(__xludf.DUMMYFUNCTION("""COMPUTED_VALUE"""),"I")</f>
        <v>I</v>
      </c>
      <c r="G915" s="189">
        <f ca="1">IFERROR(__xludf.DUMMYFUNCTION("""COMPUTED_VALUE"""),8)</f>
        <v>8</v>
      </c>
      <c r="H915" s="196"/>
      <c r="I915" s="196"/>
      <c r="J915" s="196"/>
      <c r="K915" s="196"/>
      <c r="L915" s="196" t="str">
        <v/>
      </c>
      <c r="M915" s="196"/>
    </row>
    <row r="916" spans="1:13" ht="14.4" x14ac:dyDescent="0.3">
      <c r="A916" s="189" t="str">
        <f ca="1">IFERROR(__xludf.DUMMYFUNCTION("""COMPUTED_VALUE"""),"HSC")</f>
        <v>HSC</v>
      </c>
      <c r="B916" s="195" t="str">
        <f ca="1">IFERROR(__xludf.DUMMYFUNCTION("""COMPUTED_VALUE"""),"Nader Tabandeh")</f>
        <v>Nader Tabandeh</v>
      </c>
      <c r="C916" s="189">
        <f ca="1">IFERROR(__xludf.DUMMYFUNCTION("""COMPUTED_VALUE"""),12)</f>
        <v>12</v>
      </c>
      <c r="D916" s="189" t="str">
        <f ca="1">IFERROR(__xludf.DUMMYFUNCTION("""COMPUTED_VALUE"""),"B")</f>
        <v>B</v>
      </c>
      <c r="E916" s="189" t="str">
        <f ca="1">IFERROR(__xludf.DUMMYFUNCTION("""COMPUTED_VALUE"""),"J")</f>
        <v>J</v>
      </c>
      <c r="F916" s="189" t="str">
        <f ca="1">IFERROR(__xludf.DUMMYFUNCTION("""COMPUTED_VALUE"""),"I")</f>
        <v>I</v>
      </c>
      <c r="G916" s="189">
        <f ca="1">IFERROR(__xludf.DUMMYFUNCTION("""COMPUTED_VALUE"""),8)</f>
        <v>8</v>
      </c>
      <c r="H916" s="196"/>
      <c r="I916" s="196"/>
      <c r="J916" s="196"/>
      <c r="K916" s="196"/>
      <c r="L916" s="196" t="str">
        <v/>
      </c>
      <c r="M916" s="196"/>
    </row>
    <row r="917" spans="1:13" ht="14.4" x14ac:dyDescent="0.3">
      <c r="A917" s="189" t="str">
        <f ca="1">IFERROR(__xludf.DUMMYFUNCTION("""COMPUTED_VALUE"""),"HSC")</f>
        <v>HSC</v>
      </c>
      <c r="B917" s="195" t="str">
        <f ca="1">IFERROR(__xludf.DUMMYFUNCTION("""COMPUTED_VALUE"""),"William Gentry")</f>
        <v>William Gentry</v>
      </c>
      <c r="C917" s="189">
        <f ca="1">IFERROR(__xludf.DUMMYFUNCTION("""COMPUTED_VALUE"""),12)</f>
        <v>12</v>
      </c>
      <c r="D917" s="189" t="str">
        <f ca="1">IFERROR(__xludf.DUMMYFUNCTION("""COMPUTED_VALUE"""),"B")</f>
        <v>B</v>
      </c>
      <c r="E917" s="189" t="str">
        <f ca="1">IFERROR(__xludf.DUMMYFUNCTION("""COMPUTED_VALUE"""),"J")</f>
        <v>J</v>
      </c>
      <c r="F917" s="189" t="str">
        <f ca="1">IFERROR(__xludf.DUMMYFUNCTION("""COMPUTED_VALUE"""),"I")</f>
        <v>I</v>
      </c>
      <c r="G917" s="189">
        <f ca="1">IFERROR(__xludf.DUMMYFUNCTION("""COMPUTED_VALUE"""),8)</f>
        <v>8</v>
      </c>
      <c r="H917" s="196"/>
      <c r="I917" s="196"/>
      <c r="J917" s="196"/>
      <c r="K917" s="196"/>
      <c r="L917" s="196" t="str">
        <v/>
      </c>
      <c r="M917" s="196"/>
    </row>
    <row r="918" spans="1:13" ht="14.4" x14ac:dyDescent="0.3">
      <c r="A918" s="189" t="str">
        <f ca="1">IFERROR(__xludf.DUMMYFUNCTION("""COMPUTED_VALUE"""),"HSC")</f>
        <v>HSC</v>
      </c>
      <c r="B918" s="195" t="str">
        <f ca="1">IFERROR(__xludf.DUMMYFUNCTION("""COMPUTED_VALUE"""),"William Pickard")</f>
        <v>William Pickard</v>
      </c>
      <c r="C918" s="189">
        <f ca="1">IFERROR(__xludf.DUMMYFUNCTION("""COMPUTED_VALUE"""),11)</f>
        <v>11</v>
      </c>
      <c r="D918" s="189" t="str">
        <f ca="1">IFERROR(__xludf.DUMMYFUNCTION("""COMPUTED_VALUE"""),"B")</f>
        <v>B</v>
      </c>
      <c r="E918" s="189" t="str">
        <f ca="1">IFERROR(__xludf.DUMMYFUNCTION("""COMPUTED_VALUE"""),"J")</f>
        <v>J</v>
      </c>
      <c r="F918" s="189" t="str">
        <f ca="1">IFERROR(__xludf.DUMMYFUNCTION("""COMPUTED_VALUE"""),"I")</f>
        <v>I</v>
      </c>
      <c r="G918" s="189">
        <f ca="1">IFERROR(__xludf.DUMMYFUNCTION("""COMPUTED_VALUE"""),8)</f>
        <v>8</v>
      </c>
      <c r="H918" s="196"/>
      <c r="I918" s="196"/>
      <c r="J918" s="196"/>
      <c r="K918" s="196"/>
      <c r="L918" s="196" t="str">
        <v/>
      </c>
      <c r="M918" s="196"/>
    </row>
    <row r="919" spans="1:13" ht="14.4" x14ac:dyDescent="0.3">
      <c r="A919" s="189" t="str">
        <f ca="1">IFERROR(__xludf.DUMMYFUNCTION("""COMPUTED_VALUE"""),"HSC")</f>
        <v>HSC</v>
      </c>
      <c r="B919" s="195" t="str">
        <f ca="1">IFERROR(__xludf.DUMMYFUNCTION("""COMPUTED_VALUE"""),"Morgan Kass")</f>
        <v>Morgan Kass</v>
      </c>
      <c r="C919" s="189">
        <f ca="1">IFERROR(__xludf.DUMMYFUNCTION("""COMPUTED_VALUE"""),16)</f>
        <v>16</v>
      </c>
      <c r="D919" s="189" t="str">
        <f ca="1">IFERROR(__xludf.DUMMYFUNCTION("""COMPUTED_VALUE"""),"G")</f>
        <v>G</v>
      </c>
      <c r="E919" s="189" t="str">
        <f ca="1">IFERROR(__xludf.DUMMYFUNCTION("""COMPUTED_VALUE"""),"S")</f>
        <v>S</v>
      </c>
      <c r="F919" s="189" t="str">
        <f ca="1">IFERROR(__xludf.DUMMYFUNCTION("""COMPUTED_VALUE"""),"S")</f>
        <v>S</v>
      </c>
      <c r="G919" s="189">
        <f ca="1">IFERROR(__xludf.DUMMYFUNCTION("""COMPUTED_VALUE"""),8)</f>
        <v>8</v>
      </c>
      <c r="H919" s="196"/>
      <c r="I919" s="196"/>
      <c r="J919" s="196"/>
      <c r="K919" s="196"/>
      <c r="L919" s="196" t="str">
        <v/>
      </c>
      <c r="M919" s="196"/>
    </row>
    <row r="920" spans="1:13" ht="14.4" x14ac:dyDescent="0.3">
      <c r="A920" s="189" t="str">
        <f ca="1">IFERROR(__xludf.DUMMYFUNCTION("""COMPUTED_VALUE"""),"HSC")</f>
        <v>HSC</v>
      </c>
      <c r="B920" s="195" t="str">
        <f ca="1">IFERROR(__xludf.DUMMYFUNCTION("""COMPUTED_VALUE"""),"Anthony Maull")</f>
        <v>Anthony Maull</v>
      </c>
      <c r="C920" s="189">
        <f ca="1">IFERROR(__xludf.DUMMYFUNCTION("""COMPUTED_VALUE"""),18)</f>
        <v>18</v>
      </c>
      <c r="D920" s="189" t="str">
        <f ca="1">IFERROR(__xludf.DUMMYFUNCTION("""COMPUTED_VALUE"""),"B")</f>
        <v>B</v>
      </c>
      <c r="E920" s="189" t="str">
        <f ca="1">IFERROR(__xludf.DUMMYFUNCTION("""COMPUTED_VALUE"""),"S")</f>
        <v>S</v>
      </c>
      <c r="F920" s="189" t="str">
        <f ca="1">IFERROR(__xludf.DUMMYFUNCTION("""COMPUTED_VALUE"""),"S")</f>
        <v>S</v>
      </c>
      <c r="G920" s="189">
        <f ca="1">IFERROR(__xludf.DUMMYFUNCTION("""COMPUTED_VALUE"""),8)</f>
        <v>8</v>
      </c>
      <c r="H920" s="196" t="s">
        <v>396</v>
      </c>
      <c r="I920" s="196"/>
      <c r="J920" s="196" t="s">
        <v>29</v>
      </c>
      <c r="K920" s="196"/>
      <c r="L920" s="196" t="str">
        <v xml:space="preserve"> 196.60</v>
      </c>
      <c r="M920" s="196"/>
    </row>
    <row r="921" spans="1:13" ht="14.4" x14ac:dyDescent="0.3">
      <c r="A921" s="189" t="str">
        <f ca="1">IFERROR(__xludf.DUMMYFUNCTION("""COMPUTED_VALUE"""),"HSC")</f>
        <v>HSC</v>
      </c>
      <c r="B921" s="195" t="str">
        <f ca="1">IFERROR(__xludf.DUMMYFUNCTION("""COMPUTED_VALUE"""),"Cooper Short")</f>
        <v>Cooper Short</v>
      </c>
      <c r="C921" s="189">
        <f ca="1">IFERROR(__xludf.DUMMYFUNCTION("""COMPUTED_VALUE"""),16)</f>
        <v>16</v>
      </c>
      <c r="D921" s="189" t="str">
        <f ca="1">IFERROR(__xludf.DUMMYFUNCTION("""COMPUTED_VALUE"""),"B")</f>
        <v>B</v>
      </c>
      <c r="E921" s="189" t="str">
        <f ca="1">IFERROR(__xludf.DUMMYFUNCTION("""COMPUTED_VALUE"""),"S")</f>
        <v>S</v>
      </c>
      <c r="F921" s="189" t="str">
        <f ca="1">IFERROR(__xludf.DUMMYFUNCTION("""COMPUTED_VALUE"""),"S")</f>
        <v>S</v>
      </c>
      <c r="G921" s="189">
        <f ca="1">IFERROR(__xludf.DUMMYFUNCTION("""COMPUTED_VALUE"""),8)</f>
        <v>8</v>
      </c>
      <c r="H921" s="196" t="s">
        <v>397</v>
      </c>
      <c r="I921" s="196"/>
      <c r="J921" s="196" t="s">
        <v>29</v>
      </c>
      <c r="K921" s="196"/>
      <c r="L921" s="196" t="str">
        <v xml:space="preserve"> 196.25</v>
      </c>
      <c r="M921" s="196"/>
    </row>
    <row r="922" spans="1:13" ht="14.4" x14ac:dyDescent="0.3">
      <c r="A922" s="189" t="str">
        <f ca="1">IFERROR(__xludf.DUMMYFUNCTION("""COMPUTED_VALUE"""),"HSC")</f>
        <v>HSC</v>
      </c>
      <c r="B922" s="195" t="str">
        <f ca="1">IFERROR(__xludf.DUMMYFUNCTION("""COMPUTED_VALUE"""),"Savas Emanuel")</f>
        <v>Savas Emanuel</v>
      </c>
      <c r="C922" s="189">
        <f ca="1">IFERROR(__xludf.DUMMYFUNCTION("""COMPUTED_VALUE"""),17)</f>
        <v>17</v>
      </c>
      <c r="D922" s="189" t="str">
        <f ca="1">IFERROR(__xludf.DUMMYFUNCTION("""COMPUTED_VALUE"""),"B")</f>
        <v>B</v>
      </c>
      <c r="E922" s="189" t="str">
        <f ca="1">IFERROR(__xludf.DUMMYFUNCTION("""COMPUTED_VALUE"""),"S")</f>
        <v>S</v>
      </c>
      <c r="F922" s="189" t="str">
        <f ca="1">IFERROR(__xludf.DUMMYFUNCTION("""COMPUTED_VALUE"""),"S")</f>
        <v>S</v>
      </c>
      <c r="G922" s="189">
        <f ca="1">IFERROR(__xludf.DUMMYFUNCTION("""COMPUTED_VALUE"""),8)</f>
        <v>8</v>
      </c>
      <c r="H922" s="196" t="s">
        <v>398</v>
      </c>
      <c r="I922" s="196"/>
      <c r="J922" s="196" t="s">
        <v>29</v>
      </c>
      <c r="K922" s="196"/>
      <c r="L922" s="196" t="str">
        <v xml:space="preserve"> 143.90</v>
      </c>
      <c r="M922" s="196"/>
    </row>
    <row r="923" spans="1:13" ht="14.4" x14ac:dyDescent="0.3">
      <c r="A923" s="189" t="str">
        <f ca="1">IFERROR(__xludf.DUMMYFUNCTION("""COMPUTED_VALUE"""),"HV")</f>
        <v>HV</v>
      </c>
      <c r="B923" s="195" t="str">
        <f ca="1">IFERROR(__xludf.DUMMYFUNCTION("""COMPUTED_VALUE"""),"Aliyah Pleisch")</f>
        <v>Aliyah Pleisch</v>
      </c>
      <c r="C923" s="189">
        <f ca="1">IFERROR(__xludf.DUMMYFUNCTION("""COMPUTED_VALUE"""),8)</f>
        <v>8</v>
      </c>
      <c r="D923" s="189" t="str">
        <f ca="1">IFERROR(__xludf.DUMMYFUNCTION("""COMPUTED_VALUE"""),"G")</f>
        <v>G</v>
      </c>
      <c r="E923" s="189" t="str">
        <f ca="1">IFERROR(__xludf.DUMMYFUNCTION("""COMPUTED_VALUE"""),"F")</f>
        <v>F</v>
      </c>
      <c r="F923" s="189" t="str">
        <f ca="1">IFERROR(__xludf.DUMMYFUNCTION("""COMPUTED_VALUE"""),"J")</f>
        <v>J</v>
      </c>
      <c r="G923" s="189">
        <f ca="1">IFERROR(__xludf.DUMMYFUNCTION("""COMPUTED_VALUE"""),2)</f>
        <v>2</v>
      </c>
      <c r="H923" s="196" t="s">
        <v>399</v>
      </c>
      <c r="I923" s="196"/>
      <c r="J923" s="196" t="s">
        <v>64</v>
      </c>
      <c r="K923" s="196"/>
      <c r="L923" s="196" t="str">
        <v xml:space="preserve"> -42.00</v>
      </c>
      <c r="M923" s="196"/>
    </row>
    <row r="924" spans="1:13" ht="14.4" x14ac:dyDescent="0.3">
      <c r="A924" s="189" t="str">
        <f ca="1">IFERROR(__xludf.DUMMYFUNCTION("""COMPUTED_VALUE"""),"HV")</f>
        <v>HV</v>
      </c>
      <c r="B924" s="195" t="str">
        <f ca="1">IFERROR(__xludf.DUMMYFUNCTION("""COMPUTED_VALUE"""),"Arlee Miller")</f>
        <v>Arlee Miller</v>
      </c>
      <c r="C924" s="189">
        <f ca="1">IFERROR(__xludf.DUMMYFUNCTION("""COMPUTED_VALUE"""),6)</f>
        <v>6</v>
      </c>
      <c r="D924" s="189" t="str">
        <f ca="1">IFERROR(__xludf.DUMMYFUNCTION("""COMPUTED_VALUE"""),"G")</f>
        <v>G</v>
      </c>
      <c r="E924" s="189" t="str">
        <f ca="1">IFERROR(__xludf.DUMMYFUNCTION("""COMPUTED_VALUE"""),"F")</f>
        <v>F</v>
      </c>
      <c r="F924" s="189" t="str">
        <f ca="1">IFERROR(__xludf.DUMMYFUNCTION("""COMPUTED_VALUE"""),"J")</f>
        <v>J</v>
      </c>
      <c r="G924" s="189">
        <f ca="1">IFERROR(__xludf.DUMMYFUNCTION("""COMPUTED_VALUE"""),2)</f>
        <v>2</v>
      </c>
      <c r="H924" s="196" t="s">
        <v>136</v>
      </c>
      <c r="I924" s="196"/>
      <c r="J924" s="196" t="s">
        <v>29</v>
      </c>
      <c r="K924" s="196"/>
      <c r="L924" s="196" t="str">
        <v xml:space="preserve"> 31.50</v>
      </c>
      <c r="M924" s="196"/>
    </row>
    <row r="925" spans="1:13" ht="14.4" x14ac:dyDescent="0.3">
      <c r="A925" s="189" t="str">
        <f ca="1">IFERROR(__xludf.DUMMYFUNCTION("""COMPUTED_VALUE"""),"HV")</f>
        <v>HV</v>
      </c>
      <c r="B925" s="195" t="str">
        <f ca="1">IFERROR(__xludf.DUMMYFUNCTION("""COMPUTED_VALUE"""),"Arya Bitner")</f>
        <v>Arya Bitner</v>
      </c>
      <c r="C925" s="189">
        <f ca="1">IFERROR(__xludf.DUMMYFUNCTION("""COMPUTED_VALUE"""),6)</f>
        <v>6</v>
      </c>
      <c r="D925" s="189" t="str">
        <f ca="1">IFERROR(__xludf.DUMMYFUNCTION("""COMPUTED_VALUE"""),"G")</f>
        <v>G</v>
      </c>
      <c r="E925" s="189" t="str">
        <f ca="1">IFERROR(__xludf.DUMMYFUNCTION("""COMPUTED_VALUE"""),"F")</f>
        <v>F</v>
      </c>
      <c r="F925" s="189" t="str">
        <f ca="1">IFERROR(__xludf.DUMMYFUNCTION("""COMPUTED_VALUE"""),"J")</f>
        <v>J</v>
      </c>
      <c r="G925" s="189">
        <f ca="1">IFERROR(__xludf.DUMMYFUNCTION("""COMPUTED_VALUE"""),2)</f>
        <v>2</v>
      </c>
      <c r="H925" s="196"/>
      <c r="I925" s="196"/>
      <c r="J925" s="196"/>
      <c r="K925" s="196"/>
      <c r="L925" s="196" t="str">
        <v/>
      </c>
      <c r="M925" s="196"/>
    </row>
    <row r="926" spans="1:13" ht="14.4" x14ac:dyDescent="0.3">
      <c r="A926" s="189" t="str">
        <f ca="1">IFERROR(__xludf.DUMMYFUNCTION("""COMPUTED_VALUE"""),"HV")</f>
        <v>HV</v>
      </c>
      <c r="B926" s="195" t="str">
        <f ca="1">IFERROR(__xludf.DUMMYFUNCTION("""COMPUTED_VALUE"""),"Audrey Fleming")</f>
        <v>Audrey Fleming</v>
      </c>
      <c r="C926" s="189">
        <f ca="1">IFERROR(__xludf.DUMMYFUNCTION("""COMPUTED_VALUE"""),5)</f>
        <v>5</v>
      </c>
      <c r="D926" s="189" t="str">
        <f ca="1">IFERROR(__xludf.DUMMYFUNCTION("""COMPUTED_VALUE"""),"G")</f>
        <v>G</v>
      </c>
      <c r="E926" s="189" t="str">
        <f ca="1">IFERROR(__xludf.DUMMYFUNCTION("""COMPUTED_VALUE"""),"F")</f>
        <v>F</v>
      </c>
      <c r="F926" s="189" t="str">
        <f ca="1">IFERROR(__xludf.DUMMYFUNCTION("""COMPUTED_VALUE"""),"J")</f>
        <v>J</v>
      </c>
      <c r="G926" s="189">
        <f ca="1">IFERROR(__xludf.DUMMYFUNCTION("""COMPUTED_VALUE"""),2)</f>
        <v>2</v>
      </c>
      <c r="H926" s="196" t="s">
        <v>400</v>
      </c>
      <c r="I926" s="196"/>
      <c r="J926" s="196" t="s">
        <v>29</v>
      </c>
      <c r="K926" s="196"/>
      <c r="L926" s="196" t="str">
        <v xml:space="preserve"> 25.55</v>
      </c>
      <c r="M926" s="196"/>
    </row>
    <row r="927" spans="1:13" ht="14.4" x14ac:dyDescent="0.3">
      <c r="A927" s="189" t="str">
        <f ca="1">IFERROR(__xludf.DUMMYFUNCTION("""COMPUTED_VALUE"""),"HV")</f>
        <v>HV</v>
      </c>
      <c r="B927" s="195" t="str">
        <f ca="1">IFERROR(__xludf.DUMMYFUNCTION("""COMPUTED_VALUE"""),"Bella Fleming")</f>
        <v>Bella Fleming</v>
      </c>
      <c r="C927" s="189">
        <f ca="1">IFERROR(__xludf.DUMMYFUNCTION("""COMPUTED_VALUE"""),8)</f>
        <v>8</v>
      </c>
      <c r="D927" s="189" t="str">
        <f ca="1">IFERROR(__xludf.DUMMYFUNCTION("""COMPUTED_VALUE"""),"G")</f>
        <v>G</v>
      </c>
      <c r="E927" s="189" t="str">
        <f ca="1">IFERROR(__xludf.DUMMYFUNCTION("""COMPUTED_VALUE"""),"F")</f>
        <v>F</v>
      </c>
      <c r="F927" s="189" t="str">
        <f ca="1">IFERROR(__xludf.DUMMYFUNCTION("""COMPUTED_VALUE"""),"J")</f>
        <v>J</v>
      </c>
      <c r="G927" s="189">
        <f ca="1">IFERROR(__xludf.DUMMYFUNCTION("""COMPUTED_VALUE"""),2)</f>
        <v>2</v>
      </c>
      <c r="H927" s="196" t="s">
        <v>401</v>
      </c>
      <c r="I927" s="196"/>
      <c r="J927" s="196" t="s">
        <v>29</v>
      </c>
      <c r="K927" s="196"/>
      <c r="L927" s="196" t="str">
        <v xml:space="preserve"> 23.65</v>
      </c>
      <c r="M927" s="196"/>
    </row>
    <row r="928" spans="1:13" ht="14.4" x14ac:dyDescent="0.3">
      <c r="A928" s="189" t="str">
        <f ca="1">IFERROR(__xludf.DUMMYFUNCTION("""COMPUTED_VALUE"""),"HV")</f>
        <v>HV</v>
      </c>
      <c r="B928" s="195" t="str">
        <f ca="1">IFERROR(__xludf.DUMMYFUNCTION("""COMPUTED_VALUE"""),"Claire Bishop")</f>
        <v>Claire Bishop</v>
      </c>
      <c r="C928" s="189">
        <f ca="1">IFERROR(__xludf.DUMMYFUNCTION("""COMPUTED_VALUE"""),7)</f>
        <v>7</v>
      </c>
      <c r="D928" s="189" t="str">
        <f ca="1">IFERROR(__xludf.DUMMYFUNCTION("""COMPUTED_VALUE"""),"G")</f>
        <v>G</v>
      </c>
      <c r="E928" s="189" t="str">
        <f ca="1">IFERROR(__xludf.DUMMYFUNCTION("""COMPUTED_VALUE"""),"F")</f>
        <v>F</v>
      </c>
      <c r="F928" s="189" t="str">
        <f ca="1">IFERROR(__xludf.DUMMYFUNCTION("""COMPUTED_VALUE"""),"J")</f>
        <v>J</v>
      </c>
      <c r="G928" s="189">
        <f ca="1">IFERROR(__xludf.DUMMYFUNCTION("""COMPUTED_VALUE"""),2)</f>
        <v>2</v>
      </c>
      <c r="H928" s="196"/>
      <c r="I928" s="196"/>
      <c r="J928" s="196"/>
      <c r="K928" s="196"/>
      <c r="L928" s="196" t="str">
        <v/>
      </c>
      <c r="M928" s="196"/>
    </row>
    <row r="929" spans="1:13" ht="14.4" x14ac:dyDescent="0.3">
      <c r="A929" s="189" t="str">
        <f ca="1">IFERROR(__xludf.DUMMYFUNCTION("""COMPUTED_VALUE"""),"HV")</f>
        <v>HV</v>
      </c>
      <c r="B929" s="195" t="str">
        <f ca="1">IFERROR(__xludf.DUMMYFUNCTION("""COMPUTED_VALUE"""),"Emily Dunn")</f>
        <v>Emily Dunn</v>
      </c>
      <c r="C929" s="189">
        <f ca="1">IFERROR(__xludf.DUMMYFUNCTION("""COMPUTED_VALUE"""),10)</f>
        <v>10</v>
      </c>
      <c r="D929" s="189" t="str">
        <f ca="1">IFERROR(__xludf.DUMMYFUNCTION("""COMPUTED_VALUE"""),"G")</f>
        <v>G</v>
      </c>
      <c r="E929" s="189" t="str">
        <f ca="1">IFERROR(__xludf.DUMMYFUNCTION("""COMPUTED_VALUE"""),"F")</f>
        <v>F</v>
      </c>
      <c r="F929" s="189" t="str">
        <f ca="1">IFERROR(__xludf.DUMMYFUNCTION("""COMPUTED_VALUE"""),"J")</f>
        <v>J</v>
      </c>
      <c r="G929" s="189">
        <f ca="1">IFERROR(__xludf.DUMMYFUNCTION("""COMPUTED_VALUE"""),2)</f>
        <v>2</v>
      </c>
      <c r="H929" s="196"/>
      <c r="I929" s="196"/>
      <c r="J929" s="196"/>
      <c r="K929" s="196"/>
      <c r="L929" s="196" t="str">
        <v/>
      </c>
      <c r="M929" s="196"/>
    </row>
    <row r="930" spans="1:13" ht="14.4" x14ac:dyDescent="0.3">
      <c r="A930" s="189" t="str">
        <f ca="1">IFERROR(__xludf.DUMMYFUNCTION("""COMPUTED_VALUE"""),"HV")</f>
        <v>HV</v>
      </c>
      <c r="B930" s="195" t="str">
        <f ca="1">IFERROR(__xludf.DUMMYFUNCTION("""COMPUTED_VALUE"""),"Emma Denardo")</f>
        <v>Emma Denardo</v>
      </c>
      <c r="C930" s="189">
        <f ca="1">IFERROR(__xludf.DUMMYFUNCTION("""COMPUTED_VALUE"""),5)</f>
        <v>5</v>
      </c>
      <c r="D930" s="189" t="str">
        <f ca="1">IFERROR(__xludf.DUMMYFUNCTION("""COMPUTED_VALUE"""),"G")</f>
        <v>G</v>
      </c>
      <c r="E930" s="189" t="str">
        <f ca="1">IFERROR(__xludf.DUMMYFUNCTION("""COMPUTED_VALUE"""),"F")</f>
        <v>F</v>
      </c>
      <c r="F930" s="189" t="str">
        <f ca="1">IFERROR(__xludf.DUMMYFUNCTION("""COMPUTED_VALUE"""),"J")</f>
        <v>J</v>
      </c>
      <c r="G930" s="189">
        <f ca="1">IFERROR(__xludf.DUMMYFUNCTION("""COMPUTED_VALUE"""),2)</f>
        <v>2</v>
      </c>
      <c r="H930" s="196"/>
      <c r="I930" s="196"/>
      <c r="J930" s="196"/>
      <c r="K930" s="196"/>
      <c r="L930" s="196" t="str">
        <v/>
      </c>
      <c r="M930" s="196"/>
    </row>
    <row r="931" spans="1:13" ht="14.4" x14ac:dyDescent="0.3">
      <c r="A931" s="189" t="str">
        <f ca="1">IFERROR(__xludf.DUMMYFUNCTION("""COMPUTED_VALUE"""),"HV")</f>
        <v>HV</v>
      </c>
      <c r="B931" s="195" t="str">
        <f ca="1">IFERROR(__xludf.DUMMYFUNCTION("""COMPUTED_VALUE"""),"Gabrielle Oporto")</f>
        <v>Gabrielle Oporto</v>
      </c>
      <c r="C931" s="189">
        <f ca="1">IFERROR(__xludf.DUMMYFUNCTION("""COMPUTED_VALUE"""),10)</f>
        <v>10</v>
      </c>
      <c r="D931" s="189" t="str">
        <f ca="1">IFERROR(__xludf.DUMMYFUNCTION("""COMPUTED_VALUE"""),"G")</f>
        <v>G</v>
      </c>
      <c r="E931" s="189" t="str">
        <f ca="1">IFERROR(__xludf.DUMMYFUNCTION("""COMPUTED_VALUE"""),"F")</f>
        <v>F</v>
      </c>
      <c r="F931" s="189" t="str">
        <f ca="1">IFERROR(__xludf.DUMMYFUNCTION("""COMPUTED_VALUE"""),"J")</f>
        <v>J</v>
      </c>
      <c r="G931" s="189">
        <f ca="1">IFERROR(__xludf.DUMMYFUNCTION("""COMPUTED_VALUE"""),2)</f>
        <v>2</v>
      </c>
      <c r="H931" s="196" t="s">
        <v>402</v>
      </c>
      <c r="I931" s="196"/>
      <c r="J931" s="196" t="s">
        <v>29</v>
      </c>
      <c r="K931" s="196"/>
      <c r="L931" s="196" t="str">
        <v xml:space="preserve"> 34.35</v>
      </c>
      <c r="M931" s="196"/>
    </row>
    <row r="932" spans="1:13" ht="14.4" x14ac:dyDescent="0.3">
      <c r="A932" s="189" t="str">
        <f ca="1">IFERROR(__xludf.DUMMYFUNCTION("""COMPUTED_VALUE"""),"HV")</f>
        <v>HV</v>
      </c>
      <c r="B932" s="195" t="str">
        <f ca="1">IFERROR(__xludf.DUMMYFUNCTION("""COMPUTED_VALUE"""),"Hannah Carr")</f>
        <v>Hannah Carr</v>
      </c>
      <c r="C932" s="189">
        <f ca="1">IFERROR(__xludf.DUMMYFUNCTION("""COMPUTED_VALUE"""),7)</f>
        <v>7</v>
      </c>
      <c r="D932" s="189" t="str">
        <f ca="1">IFERROR(__xludf.DUMMYFUNCTION("""COMPUTED_VALUE"""),"G")</f>
        <v>G</v>
      </c>
      <c r="E932" s="189" t="str">
        <f ca="1">IFERROR(__xludf.DUMMYFUNCTION("""COMPUTED_VALUE"""),"F")</f>
        <v>F</v>
      </c>
      <c r="F932" s="189" t="str">
        <f ca="1">IFERROR(__xludf.DUMMYFUNCTION("""COMPUTED_VALUE"""),"J")</f>
        <v>J</v>
      </c>
      <c r="G932" s="189">
        <f ca="1">IFERROR(__xludf.DUMMYFUNCTION("""COMPUTED_VALUE"""),2)</f>
        <v>2</v>
      </c>
      <c r="H932" s="196" t="s">
        <v>403</v>
      </c>
      <c r="I932" s="196"/>
      <c r="J932" s="196" t="s">
        <v>29</v>
      </c>
      <c r="K932" s="196"/>
      <c r="L932" s="196" t="str">
        <v xml:space="preserve"> 39.10</v>
      </c>
      <c r="M932" s="196"/>
    </row>
    <row r="933" spans="1:13" ht="14.4" x14ac:dyDescent="0.3">
      <c r="A933" s="189" t="str">
        <f ca="1">IFERROR(__xludf.DUMMYFUNCTION("""COMPUTED_VALUE"""),"HV")</f>
        <v>HV</v>
      </c>
      <c r="B933" s="195" t="str">
        <f ca="1">IFERROR(__xludf.DUMMYFUNCTION("""COMPUTED_VALUE"""),"Hannah Gibson")</f>
        <v>Hannah Gibson</v>
      </c>
      <c r="C933" s="189">
        <f ca="1">IFERROR(__xludf.DUMMYFUNCTION("""COMPUTED_VALUE"""),8)</f>
        <v>8</v>
      </c>
      <c r="D933" s="189" t="str">
        <f ca="1">IFERROR(__xludf.DUMMYFUNCTION("""COMPUTED_VALUE"""),"G")</f>
        <v>G</v>
      </c>
      <c r="E933" s="189" t="str">
        <f ca="1">IFERROR(__xludf.DUMMYFUNCTION("""COMPUTED_VALUE"""),"F")</f>
        <v>F</v>
      </c>
      <c r="F933" s="189" t="str">
        <f ca="1">IFERROR(__xludf.DUMMYFUNCTION("""COMPUTED_VALUE"""),"J")</f>
        <v>J</v>
      </c>
      <c r="G933" s="189">
        <f ca="1">IFERROR(__xludf.DUMMYFUNCTION("""COMPUTED_VALUE"""),2)</f>
        <v>2</v>
      </c>
      <c r="H933" s="196"/>
      <c r="I933" s="196"/>
      <c r="J933" s="196"/>
      <c r="K933" s="196"/>
      <c r="L933" s="196" t="str">
        <v/>
      </c>
      <c r="M933" s="196"/>
    </row>
    <row r="934" spans="1:13" ht="14.4" x14ac:dyDescent="0.3">
      <c r="A934" s="189" t="str">
        <f ca="1">IFERROR(__xludf.DUMMYFUNCTION("""COMPUTED_VALUE"""),"HV")</f>
        <v>HV</v>
      </c>
      <c r="B934" s="195" t="str">
        <f ca="1">IFERROR(__xludf.DUMMYFUNCTION("""COMPUTED_VALUE"""),"Lillian Gunderson")</f>
        <v>Lillian Gunderson</v>
      </c>
      <c r="C934" s="189">
        <f ca="1">IFERROR(__xludf.DUMMYFUNCTION("""COMPUTED_VALUE"""),9)</f>
        <v>9</v>
      </c>
      <c r="D934" s="189" t="str">
        <f ca="1">IFERROR(__xludf.DUMMYFUNCTION("""COMPUTED_VALUE"""),"G")</f>
        <v>G</v>
      </c>
      <c r="E934" s="189" t="str">
        <f ca="1">IFERROR(__xludf.DUMMYFUNCTION("""COMPUTED_VALUE"""),"F")</f>
        <v>F</v>
      </c>
      <c r="F934" s="189" t="str">
        <f ca="1">IFERROR(__xludf.DUMMYFUNCTION("""COMPUTED_VALUE"""),"J")</f>
        <v>J</v>
      </c>
      <c r="G934" s="189">
        <f ca="1">IFERROR(__xludf.DUMMYFUNCTION("""COMPUTED_VALUE"""),2)</f>
        <v>2</v>
      </c>
      <c r="H934" s="196"/>
      <c r="I934" s="196"/>
      <c r="J934" s="196"/>
      <c r="K934" s="196"/>
      <c r="L934" s="196" t="str">
        <v/>
      </c>
      <c r="M934" s="196"/>
    </row>
    <row r="935" spans="1:13" ht="14.4" x14ac:dyDescent="0.3">
      <c r="A935" s="189" t="str">
        <f ca="1">IFERROR(__xludf.DUMMYFUNCTION("""COMPUTED_VALUE"""),"HV")</f>
        <v>HV</v>
      </c>
      <c r="B935" s="195" t="str">
        <f ca="1">IFERROR(__xludf.DUMMYFUNCTION("""COMPUTED_VALUE"""),"Natalie Esquivel")</f>
        <v>Natalie Esquivel</v>
      </c>
      <c r="C935" s="189">
        <f ca="1">IFERROR(__xludf.DUMMYFUNCTION("""COMPUTED_VALUE"""),10)</f>
        <v>10</v>
      </c>
      <c r="D935" s="189" t="str">
        <f ca="1">IFERROR(__xludf.DUMMYFUNCTION("""COMPUTED_VALUE"""),"G")</f>
        <v>G</v>
      </c>
      <c r="E935" s="189" t="str">
        <f ca="1">IFERROR(__xludf.DUMMYFUNCTION("""COMPUTED_VALUE"""),"F")</f>
        <v>F</v>
      </c>
      <c r="F935" s="189" t="str">
        <f ca="1">IFERROR(__xludf.DUMMYFUNCTION("""COMPUTED_VALUE"""),"J")</f>
        <v>J</v>
      </c>
      <c r="G935" s="189">
        <f ca="1">IFERROR(__xludf.DUMMYFUNCTION("""COMPUTED_VALUE"""),2)</f>
        <v>2</v>
      </c>
      <c r="H935" s="196" t="s">
        <v>404</v>
      </c>
      <c r="I935" s="196"/>
      <c r="J935" s="196" t="s">
        <v>29</v>
      </c>
      <c r="K935" s="196"/>
      <c r="L935" s="196" t="str">
        <v xml:space="preserve"> 29.60</v>
      </c>
      <c r="M935" s="196"/>
    </row>
    <row r="936" spans="1:13" ht="14.4" x14ac:dyDescent="0.3">
      <c r="A936" s="189" t="str">
        <f ca="1">IFERROR(__xludf.DUMMYFUNCTION("""COMPUTED_VALUE"""),"HV")</f>
        <v>HV</v>
      </c>
      <c r="B936" s="195" t="str">
        <f ca="1">IFERROR(__xludf.DUMMYFUNCTION("""COMPUTED_VALUE"""),"Payton Bennett")</f>
        <v>Payton Bennett</v>
      </c>
      <c r="C936" s="189">
        <f ca="1">IFERROR(__xludf.DUMMYFUNCTION("""COMPUTED_VALUE"""),9)</f>
        <v>9</v>
      </c>
      <c r="D936" s="189" t="str">
        <f ca="1">IFERROR(__xludf.DUMMYFUNCTION("""COMPUTED_VALUE"""),"G")</f>
        <v>G</v>
      </c>
      <c r="E936" s="189" t="str">
        <f ca="1">IFERROR(__xludf.DUMMYFUNCTION("""COMPUTED_VALUE"""),"F")</f>
        <v>F</v>
      </c>
      <c r="F936" s="189" t="str">
        <f ca="1">IFERROR(__xludf.DUMMYFUNCTION("""COMPUTED_VALUE"""),"J")</f>
        <v>J</v>
      </c>
      <c r="G936" s="189">
        <f ca="1">IFERROR(__xludf.DUMMYFUNCTION("""COMPUTED_VALUE"""),2)</f>
        <v>2</v>
      </c>
      <c r="H936" s="196" t="s">
        <v>405</v>
      </c>
      <c r="I936" s="196"/>
      <c r="J936" s="196" t="s">
        <v>64</v>
      </c>
      <c r="K936" s="196"/>
      <c r="L936" s="196" t="str">
        <v xml:space="preserve"> -66.90</v>
      </c>
      <c r="M936" s="196"/>
    </row>
    <row r="937" spans="1:13" ht="14.4" x14ac:dyDescent="0.3">
      <c r="A937" s="189" t="str">
        <f ca="1">IFERROR(__xludf.DUMMYFUNCTION("""COMPUTED_VALUE"""),"HV")</f>
        <v>HV</v>
      </c>
      <c r="B937" s="195" t="str">
        <f ca="1">IFERROR(__xludf.DUMMYFUNCTION("""COMPUTED_VALUE"""),"Quinn Rogers")</f>
        <v>Quinn Rogers</v>
      </c>
      <c r="C937" s="189">
        <f ca="1">IFERROR(__xludf.DUMMYFUNCTION("""COMPUTED_VALUE"""),5)</f>
        <v>5</v>
      </c>
      <c r="D937" s="189" t="str">
        <f ca="1">IFERROR(__xludf.DUMMYFUNCTION("""COMPUTED_VALUE"""),"G")</f>
        <v>G</v>
      </c>
      <c r="E937" s="189" t="str">
        <f ca="1">IFERROR(__xludf.DUMMYFUNCTION("""COMPUTED_VALUE"""),"F")</f>
        <v>F</v>
      </c>
      <c r="F937" s="189" t="str">
        <f ca="1">IFERROR(__xludf.DUMMYFUNCTION("""COMPUTED_VALUE"""),"J")</f>
        <v>J</v>
      </c>
      <c r="G937" s="189">
        <f ca="1">IFERROR(__xludf.DUMMYFUNCTION("""COMPUTED_VALUE"""),2)</f>
        <v>2</v>
      </c>
      <c r="H937" s="196"/>
      <c r="I937" s="196"/>
      <c r="J937" s="196"/>
      <c r="K937" s="196"/>
      <c r="L937" s="196" t="str">
        <v/>
      </c>
      <c r="M937" s="196"/>
    </row>
    <row r="938" spans="1:13" ht="14.4" x14ac:dyDescent="0.3">
      <c r="A938" s="189" t="str">
        <f ca="1">IFERROR(__xludf.DUMMYFUNCTION("""COMPUTED_VALUE"""),"HV")</f>
        <v>HV</v>
      </c>
      <c r="B938" s="195" t="str">
        <f ca="1">IFERROR(__xludf.DUMMYFUNCTION("""COMPUTED_VALUE"""),"Alexander Ogrodny")</f>
        <v>Alexander Ogrodny</v>
      </c>
      <c r="C938" s="189">
        <f ca="1">IFERROR(__xludf.DUMMYFUNCTION("""COMPUTED_VALUE"""),9)</f>
        <v>9</v>
      </c>
      <c r="D938" s="189" t="str">
        <f ca="1">IFERROR(__xludf.DUMMYFUNCTION("""COMPUTED_VALUE"""),"B")</f>
        <v>B</v>
      </c>
      <c r="E938" s="189" t="str">
        <f ca="1">IFERROR(__xludf.DUMMYFUNCTION("""COMPUTED_VALUE"""),"F")</f>
        <v>F</v>
      </c>
      <c r="F938" s="189" t="str">
        <f ca="1">IFERROR(__xludf.DUMMYFUNCTION("""COMPUTED_VALUE"""),"J")</f>
        <v>J</v>
      </c>
      <c r="G938" s="189">
        <f ca="1">IFERROR(__xludf.DUMMYFUNCTION("""COMPUTED_VALUE"""),2)</f>
        <v>2</v>
      </c>
      <c r="H938" s="196" t="s">
        <v>406</v>
      </c>
      <c r="I938" s="196"/>
      <c r="J938" s="196" t="s">
        <v>29</v>
      </c>
      <c r="K938" s="196"/>
      <c r="L938" s="196" t="str">
        <v xml:space="preserve"> 38.25</v>
      </c>
      <c r="M938" s="196"/>
    </row>
    <row r="939" spans="1:13" ht="14.4" x14ac:dyDescent="0.3">
      <c r="A939" s="189" t="str">
        <f ca="1">IFERROR(__xludf.DUMMYFUNCTION("""COMPUTED_VALUE"""),"HV")</f>
        <v>HV</v>
      </c>
      <c r="B939" s="195" t="str">
        <f ca="1">IFERROR(__xludf.DUMMYFUNCTION("""COMPUTED_VALUE"""),"Andrew Haldeman")</f>
        <v>Andrew Haldeman</v>
      </c>
      <c r="C939" s="189">
        <f ca="1">IFERROR(__xludf.DUMMYFUNCTION("""COMPUTED_VALUE"""),9)</f>
        <v>9</v>
      </c>
      <c r="D939" s="189" t="str">
        <f ca="1">IFERROR(__xludf.DUMMYFUNCTION("""COMPUTED_VALUE"""),"B")</f>
        <v>B</v>
      </c>
      <c r="E939" s="189" t="str">
        <f ca="1">IFERROR(__xludf.DUMMYFUNCTION("""COMPUTED_VALUE"""),"F")</f>
        <v>F</v>
      </c>
      <c r="F939" s="189" t="str">
        <f ca="1">IFERROR(__xludf.DUMMYFUNCTION("""COMPUTED_VALUE"""),"J")</f>
        <v>J</v>
      </c>
      <c r="G939" s="189">
        <f ca="1">IFERROR(__xludf.DUMMYFUNCTION("""COMPUTED_VALUE"""),2)</f>
        <v>2</v>
      </c>
      <c r="H939" s="196" t="s">
        <v>407</v>
      </c>
      <c r="I939" s="196"/>
      <c r="J939" s="196" t="s">
        <v>29</v>
      </c>
      <c r="K939" s="196"/>
      <c r="L939" s="196" t="str">
        <v xml:space="preserve"> 32.00</v>
      </c>
      <c r="M939" s="196"/>
    </row>
    <row r="940" spans="1:13" ht="14.4" x14ac:dyDescent="0.3">
      <c r="A940" s="189" t="str">
        <f ca="1">IFERROR(__xludf.DUMMYFUNCTION("""COMPUTED_VALUE"""),"HV")</f>
        <v>HV</v>
      </c>
      <c r="B940" s="195" t="str">
        <f ca="1">IFERROR(__xludf.DUMMYFUNCTION("""COMPUTED_VALUE"""),"Arlo Creen")</f>
        <v>Arlo Creen</v>
      </c>
      <c r="C940" s="189">
        <f ca="1">IFERROR(__xludf.DUMMYFUNCTION("""COMPUTED_VALUE"""),9)</f>
        <v>9</v>
      </c>
      <c r="D940" s="189" t="str">
        <f ca="1">IFERROR(__xludf.DUMMYFUNCTION("""COMPUTED_VALUE"""),"B")</f>
        <v>B</v>
      </c>
      <c r="E940" s="189" t="str">
        <f ca="1">IFERROR(__xludf.DUMMYFUNCTION("""COMPUTED_VALUE"""),"F")</f>
        <v>F</v>
      </c>
      <c r="F940" s="189" t="str">
        <f ca="1">IFERROR(__xludf.DUMMYFUNCTION("""COMPUTED_VALUE"""),"J")</f>
        <v>J</v>
      </c>
      <c r="G940" s="189">
        <f ca="1">IFERROR(__xludf.DUMMYFUNCTION("""COMPUTED_VALUE"""),2)</f>
        <v>2</v>
      </c>
      <c r="H940" s="196" t="s">
        <v>408</v>
      </c>
      <c r="I940" s="196"/>
      <c r="J940" s="196" t="s">
        <v>29</v>
      </c>
      <c r="K940" s="196"/>
      <c r="L940" s="196" t="str">
        <v xml:space="preserve"> 20.35</v>
      </c>
      <c r="M940" s="196"/>
    </row>
    <row r="941" spans="1:13" ht="14.4" x14ac:dyDescent="0.3">
      <c r="A941" s="189" t="str">
        <f ca="1">IFERROR(__xludf.DUMMYFUNCTION("""COMPUTED_VALUE"""),"HV")</f>
        <v>HV</v>
      </c>
      <c r="B941" s="195" t="str">
        <f ca="1">IFERROR(__xludf.DUMMYFUNCTION("""COMPUTED_VALUE"""),"Devin Davenport")</f>
        <v>Devin Davenport</v>
      </c>
      <c r="C941" s="189">
        <f ca="1">IFERROR(__xludf.DUMMYFUNCTION("""COMPUTED_VALUE"""),9)</f>
        <v>9</v>
      </c>
      <c r="D941" s="189" t="str">
        <f ca="1">IFERROR(__xludf.DUMMYFUNCTION("""COMPUTED_VALUE"""),"B")</f>
        <v>B</v>
      </c>
      <c r="E941" s="189" t="str">
        <f ca="1">IFERROR(__xludf.DUMMYFUNCTION("""COMPUTED_VALUE"""),"F")</f>
        <v>F</v>
      </c>
      <c r="F941" s="189" t="str">
        <f ca="1">IFERROR(__xludf.DUMMYFUNCTION("""COMPUTED_VALUE"""),"J")</f>
        <v>J</v>
      </c>
      <c r="G941" s="189">
        <f ca="1">IFERROR(__xludf.DUMMYFUNCTION("""COMPUTED_VALUE"""),2)</f>
        <v>2</v>
      </c>
      <c r="H941" s="196" t="s">
        <v>342</v>
      </c>
      <c r="I941" s="196"/>
      <c r="J941" s="196" t="s">
        <v>29</v>
      </c>
      <c r="K941" s="196"/>
      <c r="L941" s="196" t="str">
        <v xml:space="preserve"> 23.10</v>
      </c>
      <c r="M941" s="196"/>
    </row>
    <row r="942" spans="1:13" ht="14.4" x14ac:dyDescent="0.3">
      <c r="A942" s="189" t="str">
        <f ca="1">IFERROR(__xludf.DUMMYFUNCTION("""COMPUTED_VALUE"""),"HV")</f>
        <v>HV</v>
      </c>
      <c r="B942" s="195" t="str">
        <f ca="1">IFERROR(__xludf.DUMMYFUNCTION("""COMPUTED_VALUE"""),"Lincoln Kemp")</f>
        <v>Lincoln Kemp</v>
      </c>
      <c r="C942" s="189">
        <f ca="1">IFERROR(__xludf.DUMMYFUNCTION("""COMPUTED_VALUE"""),8)</f>
        <v>8</v>
      </c>
      <c r="D942" s="189" t="str">
        <f ca="1">IFERROR(__xludf.DUMMYFUNCTION("""COMPUTED_VALUE"""),"B")</f>
        <v>B</v>
      </c>
      <c r="E942" s="189" t="str">
        <f ca="1">IFERROR(__xludf.DUMMYFUNCTION("""COMPUTED_VALUE"""),"F")</f>
        <v>F</v>
      </c>
      <c r="F942" s="189" t="str">
        <f ca="1">IFERROR(__xludf.DUMMYFUNCTION("""COMPUTED_VALUE"""),"J")</f>
        <v>J</v>
      </c>
      <c r="G942" s="189">
        <f ca="1">IFERROR(__xludf.DUMMYFUNCTION("""COMPUTED_VALUE"""),2)</f>
        <v>2</v>
      </c>
      <c r="H942" s="196" t="s">
        <v>409</v>
      </c>
      <c r="I942" s="196"/>
      <c r="J942" s="196" t="s">
        <v>29</v>
      </c>
      <c r="K942" s="196"/>
      <c r="L942" s="196" t="str">
        <v xml:space="preserve"> 48.20</v>
      </c>
      <c r="M942" s="196"/>
    </row>
    <row r="943" spans="1:13" ht="14.4" x14ac:dyDescent="0.3">
      <c r="A943" s="189" t="str">
        <f ca="1">IFERROR(__xludf.DUMMYFUNCTION("""COMPUTED_VALUE"""),"HV")</f>
        <v>HV</v>
      </c>
      <c r="B943" s="195" t="str">
        <f ca="1">IFERROR(__xludf.DUMMYFUNCTION("""COMPUTED_VALUE"""),"Addy Bennett")</f>
        <v>Addy Bennett</v>
      </c>
      <c r="C943" s="189">
        <f ca="1">IFERROR(__xludf.DUMMYFUNCTION("""COMPUTED_VALUE"""),13)</f>
        <v>13</v>
      </c>
      <c r="D943" s="189" t="str">
        <f ca="1">IFERROR(__xludf.DUMMYFUNCTION("""COMPUTED_VALUE"""),"G")</f>
        <v>G</v>
      </c>
      <c r="E943" s="189" t="str">
        <f ca="1">IFERROR(__xludf.DUMMYFUNCTION("""COMPUTED_VALUE"""),"I")</f>
        <v>I</v>
      </c>
      <c r="F943" s="189" t="str">
        <f ca="1">IFERROR(__xludf.DUMMYFUNCTION("""COMPUTED_VALUE"""),"S")</f>
        <v>S</v>
      </c>
      <c r="G943" s="189">
        <f ca="1">IFERROR(__xludf.DUMMYFUNCTION("""COMPUTED_VALUE"""),2)</f>
        <v>2</v>
      </c>
      <c r="H943" s="196"/>
      <c r="I943" s="196"/>
      <c r="J943" s="196"/>
      <c r="K943" s="196"/>
      <c r="L943" s="196" t="str">
        <v/>
      </c>
      <c r="M943" s="196"/>
    </row>
    <row r="944" spans="1:13" ht="14.4" x14ac:dyDescent="0.3">
      <c r="A944" s="189" t="str">
        <f ca="1">IFERROR(__xludf.DUMMYFUNCTION("""COMPUTED_VALUE"""),"HV")</f>
        <v>HV</v>
      </c>
      <c r="B944" s="195" t="str">
        <f ca="1">IFERROR(__xludf.DUMMYFUNCTION("""COMPUTED_VALUE"""),"Chloe Niphadkabin")</f>
        <v>Chloe Niphadkabin</v>
      </c>
      <c r="C944" s="189">
        <f ca="1">IFERROR(__xludf.DUMMYFUNCTION("""COMPUTED_VALUE"""),13)</f>
        <v>13</v>
      </c>
      <c r="D944" s="189" t="str">
        <f ca="1">IFERROR(__xludf.DUMMYFUNCTION("""COMPUTED_VALUE"""),"G")</f>
        <v>G</v>
      </c>
      <c r="E944" s="189" t="str">
        <f ca="1">IFERROR(__xludf.DUMMYFUNCTION("""COMPUTED_VALUE"""),"I")</f>
        <v>I</v>
      </c>
      <c r="F944" s="189" t="str">
        <f ca="1">IFERROR(__xludf.DUMMYFUNCTION("""COMPUTED_VALUE"""),"S")</f>
        <v>S</v>
      </c>
      <c r="G944" s="189">
        <f ca="1">IFERROR(__xludf.DUMMYFUNCTION("""COMPUTED_VALUE"""),2)</f>
        <v>2</v>
      </c>
      <c r="H944" s="196" t="s">
        <v>410</v>
      </c>
      <c r="I944" s="196"/>
      <c r="J944" s="196" t="s">
        <v>29</v>
      </c>
      <c r="K944" s="196"/>
      <c r="L944" s="196" t="str">
        <v xml:space="preserve"> 137.80</v>
      </c>
      <c r="M944" s="196"/>
    </row>
    <row r="945" spans="1:13" ht="14.4" x14ac:dyDescent="0.3">
      <c r="A945" s="189" t="str">
        <f ca="1">IFERROR(__xludf.DUMMYFUNCTION("""COMPUTED_VALUE"""),"HV")</f>
        <v>HV</v>
      </c>
      <c r="B945" s="195" t="str">
        <f ca="1">IFERROR(__xludf.DUMMYFUNCTION("""COMPUTED_VALUE"""),"Sophie Leland")</f>
        <v>Sophie Leland</v>
      </c>
      <c r="C945" s="189">
        <f ca="1">IFERROR(__xludf.DUMMYFUNCTION("""COMPUTED_VALUE"""),13)</f>
        <v>13</v>
      </c>
      <c r="D945" s="189" t="str">
        <f ca="1">IFERROR(__xludf.DUMMYFUNCTION("""COMPUTED_VALUE"""),"G")</f>
        <v>G</v>
      </c>
      <c r="E945" s="189" t="str">
        <f ca="1">IFERROR(__xludf.DUMMYFUNCTION("""COMPUTED_VALUE"""),"I")</f>
        <v>I</v>
      </c>
      <c r="F945" s="189" t="str">
        <f ca="1">IFERROR(__xludf.DUMMYFUNCTION("""COMPUTED_VALUE"""),"S")</f>
        <v>S</v>
      </c>
      <c r="G945" s="189">
        <f ca="1">IFERROR(__xludf.DUMMYFUNCTION("""COMPUTED_VALUE"""),2)</f>
        <v>2</v>
      </c>
      <c r="H945" s="196"/>
      <c r="I945" s="196"/>
      <c r="J945" s="196"/>
      <c r="K945" s="196"/>
      <c r="L945" s="196" t="str">
        <v/>
      </c>
      <c r="M945" s="196"/>
    </row>
    <row r="946" spans="1:13" ht="14.4" x14ac:dyDescent="0.3">
      <c r="A946" s="189" t="str">
        <f ca="1">IFERROR(__xludf.DUMMYFUNCTION("""COMPUTED_VALUE"""),"HV")</f>
        <v>HV</v>
      </c>
      <c r="B946" s="195" t="str">
        <f ca="1">IFERROR(__xludf.DUMMYFUNCTION("""COMPUTED_VALUE"""),"Colson Gardiner")</f>
        <v>Colson Gardiner</v>
      </c>
      <c r="C946" s="189">
        <f ca="1">IFERROR(__xludf.DUMMYFUNCTION("""COMPUTED_VALUE"""),13)</f>
        <v>13</v>
      </c>
      <c r="D946" s="189" t="str">
        <f ca="1">IFERROR(__xludf.DUMMYFUNCTION("""COMPUTED_VALUE"""),"B")</f>
        <v>B</v>
      </c>
      <c r="E946" s="189" t="str">
        <f ca="1">IFERROR(__xludf.DUMMYFUNCTION("""COMPUTED_VALUE"""),"I")</f>
        <v>I</v>
      </c>
      <c r="F946" s="189" t="str">
        <f ca="1">IFERROR(__xludf.DUMMYFUNCTION("""COMPUTED_VALUE"""),"S")</f>
        <v>S</v>
      </c>
      <c r="G946" s="189">
        <f ca="1">IFERROR(__xludf.DUMMYFUNCTION("""COMPUTED_VALUE"""),2)</f>
        <v>2</v>
      </c>
      <c r="H946" s="196" t="s">
        <v>411</v>
      </c>
      <c r="I946" s="196"/>
      <c r="J946" s="196" t="s">
        <v>29</v>
      </c>
      <c r="K946" s="196"/>
      <c r="L946" s="196" t="str">
        <v xml:space="preserve"> 104.30</v>
      </c>
      <c r="M946" s="196"/>
    </row>
    <row r="947" spans="1:13" ht="14.4" x14ac:dyDescent="0.3">
      <c r="A947" s="189" t="str">
        <f ca="1">IFERROR(__xludf.DUMMYFUNCTION("""COMPUTED_VALUE"""),"HV")</f>
        <v>HV</v>
      </c>
      <c r="B947" s="195" t="str">
        <f ca="1">IFERROR(__xludf.DUMMYFUNCTION("""COMPUTED_VALUE"""),"Derek Baltas")</f>
        <v>Derek Baltas</v>
      </c>
      <c r="C947" s="189">
        <f ca="1">IFERROR(__xludf.DUMMYFUNCTION("""COMPUTED_VALUE"""),13)</f>
        <v>13</v>
      </c>
      <c r="D947" s="189" t="str">
        <f ca="1">IFERROR(__xludf.DUMMYFUNCTION("""COMPUTED_VALUE"""),"B")</f>
        <v>B</v>
      </c>
      <c r="E947" s="189" t="str">
        <f ca="1">IFERROR(__xludf.DUMMYFUNCTION("""COMPUTED_VALUE"""),"I")</f>
        <v>I</v>
      </c>
      <c r="F947" s="189" t="str">
        <f ca="1">IFERROR(__xludf.DUMMYFUNCTION("""COMPUTED_VALUE"""),"S")</f>
        <v>S</v>
      </c>
      <c r="G947" s="189">
        <f ca="1">IFERROR(__xludf.DUMMYFUNCTION("""COMPUTED_VALUE"""),2)</f>
        <v>2</v>
      </c>
      <c r="H947" s="196" t="s">
        <v>219</v>
      </c>
      <c r="I947" s="196"/>
      <c r="J947" s="196" t="s">
        <v>29</v>
      </c>
      <c r="K947" s="196"/>
      <c r="L947" s="196" t="str">
        <v xml:space="preserve"> 61.55</v>
      </c>
      <c r="M947" s="196"/>
    </row>
    <row r="948" spans="1:13" ht="14.4" x14ac:dyDescent="0.3">
      <c r="A948" s="189" t="str">
        <f ca="1">IFERROR(__xludf.DUMMYFUNCTION("""COMPUTED_VALUE"""),"HV")</f>
        <v>HV</v>
      </c>
      <c r="B948" s="195" t="str">
        <f ca="1">IFERROR(__xludf.DUMMYFUNCTION("""COMPUTED_VALUE"""),"Joey Ogrodny")</f>
        <v>Joey Ogrodny</v>
      </c>
      <c r="C948" s="189">
        <f ca="1">IFERROR(__xludf.DUMMYFUNCTION("""COMPUTED_VALUE"""),14)</f>
        <v>14</v>
      </c>
      <c r="D948" s="189" t="str">
        <f ca="1">IFERROR(__xludf.DUMMYFUNCTION("""COMPUTED_VALUE"""),"B")</f>
        <v>B</v>
      </c>
      <c r="E948" s="189" t="str">
        <f ca="1">IFERROR(__xludf.DUMMYFUNCTION("""COMPUTED_VALUE"""),"I")</f>
        <v>I</v>
      </c>
      <c r="F948" s="189" t="str">
        <f ca="1">IFERROR(__xludf.DUMMYFUNCTION("""COMPUTED_VALUE"""),"S")</f>
        <v>S</v>
      </c>
      <c r="G948" s="189">
        <f ca="1">IFERROR(__xludf.DUMMYFUNCTION("""COMPUTED_VALUE"""),2)</f>
        <v>2</v>
      </c>
      <c r="H948" s="196" t="s">
        <v>412</v>
      </c>
      <c r="I948" s="196"/>
      <c r="J948" s="196" t="s">
        <v>29</v>
      </c>
      <c r="K948" s="196"/>
      <c r="L948" s="196" t="str">
        <v xml:space="preserve"> 109.00</v>
      </c>
      <c r="M948" s="196"/>
    </row>
    <row r="949" spans="1:13" ht="14.4" x14ac:dyDescent="0.3">
      <c r="A949" s="189" t="str">
        <f ca="1">IFERROR(__xludf.DUMMYFUNCTION("""COMPUTED_VALUE"""),"HV")</f>
        <v>HV</v>
      </c>
      <c r="B949" s="195" t="str">
        <f ca="1">IFERROR(__xludf.DUMMYFUNCTION("""COMPUTED_VALUE"""),"Kaleb Wisner")</f>
        <v>Kaleb Wisner</v>
      </c>
      <c r="C949" s="189">
        <f ca="1">IFERROR(__xludf.DUMMYFUNCTION("""COMPUTED_VALUE"""),14)</f>
        <v>14</v>
      </c>
      <c r="D949" s="189" t="str">
        <f ca="1">IFERROR(__xludf.DUMMYFUNCTION("""COMPUTED_VALUE"""),"B")</f>
        <v>B</v>
      </c>
      <c r="E949" s="189" t="str">
        <f ca="1">IFERROR(__xludf.DUMMYFUNCTION("""COMPUTED_VALUE"""),"I")</f>
        <v>I</v>
      </c>
      <c r="F949" s="189" t="str">
        <f ca="1">IFERROR(__xludf.DUMMYFUNCTION("""COMPUTED_VALUE"""),"S")</f>
        <v>S</v>
      </c>
      <c r="G949" s="189">
        <f ca="1">IFERROR(__xludf.DUMMYFUNCTION("""COMPUTED_VALUE"""),2)</f>
        <v>2</v>
      </c>
      <c r="H949" s="196" t="s">
        <v>413</v>
      </c>
      <c r="I949" s="196"/>
      <c r="J949" s="196" t="s">
        <v>29</v>
      </c>
      <c r="K949" s="196"/>
      <c r="L949" s="196" t="str">
        <v xml:space="preserve"> 114.70</v>
      </c>
      <c r="M949" s="196"/>
    </row>
    <row r="950" spans="1:13" ht="14.4" x14ac:dyDescent="0.3">
      <c r="A950" s="189" t="str">
        <f ca="1">IFERROR(__xludf.DUMMYFUNCTION("""COMPUTED_VALUE"""),"HV")</f>
        <v>HV</v>
      </c>
      <c r="B950" s="195" t="str">
        <f ca="1">IFERROR(__xludf.DUMMYFUNCTION("""COMPUTED_VALUE"""),"Eloise Smith")</f>
        <v>Eloise Smith</v>
      </c>
      <c r="C950" s="189">
        <f ca="1">IFERROR(__xludf.DUMMYFUNCTION("""COMPUTED_VALUE"""),12)</f>
        <v>12</v>
      </c>
      <c r="D950" s="189" t="str">
        <f ca="1">IFERROR(__xludf.DUMMYFUNCTION("""COMPUTED_VALUE"""),"G")</f>
        <v>G</v>
      </c>
      <c r="E950" s="189" t="str">
        <f ca="1">IFERROR(__xludf.DUMMYFUNCTION("""COMPUTED_VALUE"""),"J")</f>
        <v>J</v>
      </c>
      <c r="F950" s="189" t="str">
        <f ca="1">IFERROR(__xludf.DUMMYFUNCTION("""COMPUTED_VALUE"""),"I")</f>
        <v>I</v>
      </c>
      <c r="G950" s="189">
        <f ca="1">IFERROR(__xludf.DUMMYFUNCTION("""COMPUTED_VALUE"""),2)</f>
        <v>2</v>
      </c>
      <c r="H950" s="196"/>
      <c r="I950" s="196"/>
      <c r="J950" s="196"/>
      <c r="K950" s="196"/>
      <c r="L950" s="196" t="str">
        <v/>
      </c>
      <c r="M950" s="196"/>
    </row>
    <row r="951" spans="1:13" ht="14.4" x14ac:dyDescent="0.3">
      <c r="A951" s="189" t="str">
        <f ca="1">IFERROR(__xludf.DUMMYFUNCTION("""COMPUTED_VALUE"""),"HV")</f>
        <v>HV</v>
      </c>
      <c r="B951" s="195" t="str">
        <f ca="1">IFERROR(__xludf.DUMMYFUNCTION("""COMPUTED_VALUE"""),"Lucy Leland")</f>
        <v>Lucy Leland</v>
      </c>
      <c r="C951" s="189">
        <f ca="1">IFERROR(__xludf.DUMMYFUNCTION("""COMPUTED_VALUE"""),12)</f>
        <v>12</v>
      </c>
      <c r="D951" s="189" t="str">
        <f ca="1">IFERROR(__xludf.DUMMYFUNCTION("""COMPUTED_VALUE"""),"G")</f>
        <v>G</v>
      </c>
      <c r="E951" s="189" t="str">
        <f ca="1">IFERROR(__xludf.DUMMYFUNCTION("""COMPUTED_VALUE"""),"J")</f>
        <v>J</v>
      </c>
      <c r="F951" s="189" t="str">
        <f ca="1">IFERROR(__xludf.DUMMYFUNCTION("""COMPUTED_VALUE"""),"I")</f>
        <v>I</v>
      </c>
      <c r="G951" s="189">
        <f ca="1">IFERROR(__xludf.DUMMYFUNCTION("""COMPUTED_VALUE"""),2)</f>
        <v>2</v>
      </c>
      <c r="H951" s="196"/>
      <c r="I951" s="196"/>
      <c r="J951" s="196"/>
      <c r="K951" s="196"/>
      <c r="L951" s="196" t="str">
        <v/>
      </c>
      <c r="M951" s="196"/>
    </row>
    <row r="952" spans="1:13" ht="14.4" x14ac:dyDescent="0.3">
      <c r="A952" s="189" t="str">
        <f ca="1">IFERROR(__xludf.DUMMYFUNCTION("""COMPUTED_VALUE"""),"HV")</f>
        <v>HV</v>
      </c>
      <c r="B952" s="195" t="str">
        <f ca="1">IFERROR(__xludf.DUMMYFUNCTION("""COMPUTED_VALUE"""),"Lydia Ko")</f>
        <v>Lydia Ko</v>
      </c>
      <c r="C952" s="189">
        <f ca="1">IFERROR(__xludf.DUMMYFUNCTION("""COMPUTED_VALUE"""),12)</f>
        <v>12</v>
      </c>
      <c r="D952" s="189" t="str">
        <f ca="1">IFERROR(__xludf.DUMMYFUNCTION("""COMPUTED_VALUE"""),"G")</f>
        <v>G</v>
      </c>
      <c r="E952" s="189" t="str">
        <f ca="1">IFERROR(__xludf.DUMMYFUNCTION("""COMPUTED_VALUE"""),"J")</f>
        <v>J</v>
      </c>
      <c r="F952" s="189" t="str">
        <f ca="1">IFERROR(__xludf.DUMMYFUNCTION("""COMPUTED_VALUE"""),"I")</f>
        <v>I</v>
      </c>
      <c r="G952" s="189">
        <f ca="1">IFERROR(__xludf.DUMMYFUNCTION("""COMPUTED_VALUE"""),2)</f>
        <v>2</v>
      </c>
      <c r="H952" s="196"/>
      <c r="I952" s="196"/>
      <c r="J952" s="196"/>
      <c r="K952" s="196"/>
      <c r="L952" s="196" t="str">
        <v/>
      </c>
      <c r="M952" s="196"/>
    </row>
    <row r="953" spans="1:13" ht="14.4" x14ac:dyDescent="0.3">
      <c r="A953" s="189" t="str">
        <f ca="1">IFERROR(__xludf.DUMMYFUNCTION("""COMPUTED_VALUE"""),"HV")</f>
        <v>HV</v>
      </c>
      <c r="B953" s="195" t="str">
        <f ca="1">IFERROR(__xludf.DUMMYFUNCTION("""COMPUTED_VALUE"""),"Nola Mammo")</f>
        <v>Nola Mammo</v>
      </c>
      <c r="C953" s="189">
        <f ca="1">IFERROR(__xludf.DUMMYFUNCTION("""COMPUTED_VALUE"""),11)</f>
        <v>11</v>
      </c>
      <c r="D953" s="189" t="str">
        <f ca="1">IFERROR(__xludf.DUMMYFUNCTION("""COMPUTED_VALUE"""),"G")</f>
        <v>G</v>
      </c>
      <c r="E953" s="189" t="str">
        <f ca="1">IFERROR(__xludf.DUMMYFUNCTION("""COMPUTED_VALUE"""),"J")</f>
        <v>J</v>
      </c>
      <c r="F953" s="189" t="str">
        <f ca="1">IFERROR(__xludf.DUMMYFUNCTION("""COMPUTED_VALUE"""),"I")</f>
        <v>I</v>
      </c>
      <c r="G953" s="189">
        <f ca="1">IFERROR(__xludf.DUMMYFUNCTION("""COMPUTED_VALUE"""),2)</f>
        <v>2</v>
      </c>
      <c r="H953" s="196"/>
      <c r="I953" s="196"/>
      <c r="J953" s="196"/>
      <c r="K953" s="196"/>
      <c r="L953" s="196" t="str">
        <v/>
      </c>
      <c r="M953" s="196"/>
    </row>
    <row r="954" spans="1:13" ht="14.4" x14ac:dyDescent="0.3">
      <c r="A954" s="189" t="str">
        <f ca="1">IFERROR(__xludf.DUMMYFUNCTION("""COMPUTED_VALUE"""),"HV")</f>
        <v>HV</v>
      </c>
      <c r="B954" s="195" t="str">
        <f ca="1">IFERROR(__xludf.DUMMYFUNCTION("""COMPUTED_VALUE"""),"Adam Ogrodny")</f>
        <v>Adam Ogrodny</v>
      </c>
      <c r="C954" s="189">
        <f ca="1">IFERROR(__xludf.DUMMYFUNCTION("""COMPUTED_VALUE"""),11)</f>
        <v>11</v>
      </c>
      <c r="D954" s="189" t="str">
        <f ca="1">IFERROR(__xludf.DUMMYFUNCTION("""COMPUTED_VALUE"""),"B")</f>
        <v>B</v>
      </c>
      <c r="E954" s="189" t="str">
        <f ca="1">IFERROR(__xludf.DUMMYFUNCTION("""COMPUTED_VALUE"""),"J")</f>
        <v>J</v>
      </c>
      <c r="F954" s="189" t="str">
        <f ca="1">IFERROR(__xludf.DUMMYFUNCTION("""COMPUTED_VALUE"""),"I")</f>
        <v>I</v>
      </c>
      <c r="G954" s="189">
        <f ca="1">IFERROR(__xludf.DUMMYFUNCTION("""COMPUTED_VALUE"""),2)</f>
        <v>2</v>
      </c>
      <c r="H954" s="196" t="s">
        <v>335</v>
      </c>
      <c r="I954" s="196"/>
      <c r="J954" s="196" t="s">
        <v>29</v>
      </c>
      <c r="K954" s="196"/>
      <c r="L954" s="196" t="str">
        <v xml:space="preserve"> 53.15</v>
      </c>
      <c r="M954" s="196"/>
    </row>
    <row r="955" spans="1:13" ht="14.4" x14ac:dyDescent="0.3">
      <c r="A955" s="189" t="str">
        <f ca="1">IFERROR(__xludf.DUMMYFUNCTION("""COMPUTED_VALUE"""),"HV")</f>
        <v>HV</v>
      </c>
      <c r="B955" s="195" t="str">
        <f ca="1">IFERROR(__xludf.DUMMYFUNCTION("""COMPUTED_VALUE"""),"Amir Owens")</f>
        <v>Amir Owens</v>
      </c>
      <c r="C955" s="189">
        <f ca="1">IFERROR(__xludf.DUMMYFUNCTION("""COMPUTED_VALUE"""),11)</f>
        <v>11</v>
      </c>
      <c r="D955" s="189" t="str">
        <f ca="1">IFERROR(__xludf.DUMMYFUNCTION("""COMPUTED_VALUE"""),"B")</f>
        <v>B</v>
      </c>
      <c r="E955" s="189" t="str">
        <f ca="1">IFERROR(__xludf.DUMMYFUNCTION("""COMPUTED_VALUE"""),"J")</f>
        <v>J</v>
      </c>
      <c r="F955" s="189" t="str">
        <f ca="1">IFERROR(__xludf.DUMMYFUNCTION("""COMPUTED_VALUE"""),"I")</f>
        <v>I</v>
      </c>
      <c r="G955" s="189">
        <f ca="1">IFERROR(__xludf.DUMMYFUNCTION("""COMPUTED_VALUE"""),2)</f>
        <v>2</v>
      </c>
      <c r="H955" s="196" t="s">
        <v>414</v>
      </c>
      <c r="I955" s="196"/>
      <c r="J955" s="196" t="s">
        <v>29</v>
      </c>
      <c r="K955" s="196"/>
      <c r="L955" s="196" t="str">
        <v xml:space="preserve"> 167.80</v>
      </c>
      <c r="M955" s="196"/>
    </row>
    <row r="956" spans="1:13" ht="14.4" x14ac:dyDescent="0.3">
      <c r="A956" s="189" t="str">
        <f ca="1">IFERROR(__xludf.DUMMYFUNCTION("""COMPUTED_VALUE"""),"HV")</f>
        <v>HV</v>
      </c>
      <c r="B956" s="195" t="str">
        <f ca="1">IFERROR(__xludf.DUMMYFUNCTION("""COMPUTED_VALUE"""),"Dylan Davenport")</f>
        <v>Dylan Davenport</v>
      </c>
      <c r="C956" s="189">
        <f ca="1">IFERROR(__xludf.DUMMYFUNCTION("""COMPUTED_VALUE"""),11)</f>
        <v>11</v>
      </c>
      <c r="D956" s="189" t="str">
        <f ca="1">IFERROR(__xludf.DUMMYFUNCTION("""COMPUTED_VALUE"""),"B")</f>
        <v>B</v>
      </c>
      <c r="E956" s="189" t="str">
        <f ca="1">IFERROR(__xludf.DUMMYFUNCTION("""COMPUTED_VALUE"""),"J")</f>
        <v>J</v>
      </c>
      <c r="F956" s="189" t="str">
        <f ca="1">IFERROR(__xludf.DUMMYFUNCTION("""COMPUTED_VALUE"""),"I")</f>
        <v>I</v>
      </c>
      <c r="G956" s="189">
        <f ca="1">IFERROR(__xludf.DUMMYFUNCTION("""COMPUTED_VALUE"""),2)</f>
        <v>2</v>
      </c>
      <c r="H956" s="196"/>
      <c r="I956" s="196"/>
      <c r="J956" s="196"/>
      <c r="K956" s="196"/>
      <c r="L956" s="196" t="str">
        <v/>
      </c>
      <c r="M956" s="196"/>
    </row>
    <row r="957" spans="1:13" ht="14.4" x14ac:dyDescent="0.3">
      <c r="A957" s="189" t="str">
        <f ca="1">IFERROR(__xludf.DUMMYFUNCTION("""COMPUTED_VALUE"""),"HV")</f>
        <v>HV</v>
      </c>
      <c r="B957" s="195" t="str">
        <f ca="1">IFERROR(__xludf.DUMMYFUNCTION("""COMPUTED_VALUE"""),"Landen Smith")</f>
        <v>Landen Smith</v>
      </c>
      <c r="C957" s="189">
        <f ca="1">IFERROR(__xludf.DUMMYFUNCTION("""COMPUTED_VALUE"""),12)</f>
        <v>12</v>
      </c>
      <c r="D957" s="189" t="str">
        <f ca="1">IFERROR(__xludf.DUMMYFUNCTION("""COMPUTED_VALUE"""),"B")</f>
        <v>B</v>
      </c>
      <c r="E957" s="189" t="str">
        <f ca="1">IFERROR(__xludf.DUMMYFUNCTION("""COMPUTED_VALUE"""),"J")</f>
        <v>J</v>
      </c>
      <c r="F957" s="189" t="str">
        <f ca="1">IFERROR(__xludf.DUMMYFUNCTION("""COMPUTED_VALUE"""),"I")</f>
        <v>I</v>
      </c>
      <c r="G957" s="189">
        <f ca="1">IFERROR(__xludf.DUMMYFUNCTION("""COMPUTED_VALUE"""),2)</f>
        <v>2</v>
      </c>
      <c r="H957" s="196"/>
      <c r="I957" s="196"/>
      <c r="J957" s="196"/>
      <c r="K957" s="196"/>
      <c r="L957" s="196" t="str">
        <v/>
      </c>
      <c r="M957" s="196"/>
    </row>
    <row r="958" spans="1:13" ht="14.4" x14ac:dyDescent="0.3">
      <c r="A958" s="189" t="str">
        <f ca="1">IFERROR(__xludf.DUMMYFUNCTION("""COMPUTED_VALUE"""),"HV")</f>
        <v>HV</v>
      </c>
      <c r="B958" s="195" t="str">
        <f ca="1">IFERROR(__xludf.DUMMYFUNCTION("""COMPUTED_VALUE"""),"Liam Varma")</f>
        <v>Liam Varma</v>
      </c>
      <c r="C958" s="189">
        <f ca="1">IFERROR(__xludf.DUMMYFUNCTION("""COMPUTED_VALUE"""),12)</f>
        <v>12</v>
      </c>
      <c r="D958" s="189" t="str">
        <f ca="1">IFERROR(__xludf.DUMMYFUNCTION("""COMPUTED_VALUE"""),"B")</f>
        <v>B</v>
      </c>
      <c r="E958" s="189" t="str">
        <f ca="1">IFERROR(__xludf.DUMMYFUNCTION("""COMPUTED_VALUE"""),"J")</f>
        <v>J</v>
      </c>
      <c r="F958" s="189" t="str">
        <f ca="1">IFERROR(__xludf.DUMMYFUNCTION("""COMPUTED_VALUE"""),"I")</f>
        <v>I</v>
      </c>
      <c r="G958" s="189">
        <f ca="1">IFERROR(__xludf.DUMMYFUNCTION("""COMPUTED_VALUE"""),2)</f>
        <v>2</v>
      </c>
      <c r="H958" s="196"/>
      <c r="I958" s="196"/>
      <c r="J958" s="196"/>
      <c r="K958" s="196"/>
      <c r="L958" s="196" t="str">
        <v/>
      </c>
      <c r="M958" s="196"/>
    </row>
    <row r="959" spans="1:13" ht="14.4" x14ac:dyDescent="0.3">
      <c r="A959" s="189" t="str">
        <f ca="1">IFERROR(__xludf.DUMMYFUNCTION("""COMPUTED_VALUE"""),"HV")</f>
        <v>HV</v>
      </c>
      <c r="B959" s="195" t="str">
        <f ca="1">IFERROR(__xludf.DUMMYFUNCTION("""COMPUTED_VALUE"""),"Rowen Haldeman")</f>
        <v>Rowen Haldeman</v>
      </c>
      <c r="C959" s="189">
        <f ca="1">IFERROR(__xludf.DUMMYFUNCTION("""COMPUTED_VALUE"""),11)</f>
        <v>11</v>
      </c>
      <c r="D959" s="189" t="str">
        <f ca="1">IFERROR(__xludf.DUMMYFUNCTION("""COMPUTED_VALUE"""),"B")</f>
        <v>B</v>
      </c>
      <c r="E959" s="189" t="str">
        <f ca="1">IFERROR(__xludf.DUMMYFUNCTION("""COMPUTED_VALUE"""),"J")</f>
        <v>J</v>
      </c>
      <c r="F959" s="189" t="str">
        <f ca="1">IFERROR(__xludf.DUMMYFUNCTION("""COMPUTED_VALUE"""),"I")</f>
        <v>I</v>
      </c>
      <c r="G959" s="189">
        <f ca="1">IFERROR(__xludf.DUMMYFUNCTION("""COMPUTED_VALUE"""),2)</f>
        <v>2</v>
      </c>
      <c r="H959" s="196"/>
      <c r="I959" s="196"/>
      <c r="J959" s="196"/>
      <c r="K959" s="196"/>
      <c r="L959" s="196" t="str">
        <v/>
      </c>
      <c r="M959" s="196"/>
    </row>
    <row r="960" spans="1:13" ht="14.4" x14ac:dyDescent="0.3">
      <c r="A960" s="189" t="str">
        <f ca="1">IFERROR(__xludf.DUMMYFUNCTION("""COMPUTED_VALUE"""),"HV")</f>
        <v>HV</v>
      </c>
      <c r="B960" s="195" t="str">
        <f ca="1">IFERROR(__xludf.DUMMYFUNCTION("""COMPUTED_VALUE"""),"Tanner Bennett")</f>
        <v>Tanner Bennett</v>
      </c>
      <c r="C960" s="189">
        <f ca="1">IFERROR(__xludf.DUMMYFUNCTION("""COMPUTED_VALUE"""),11)</f>
        <v>11</v>
      </c>
      <c r="D960" s="189" t="str">
        <f ca="1">IFERROR(__xludf.DUMMYFUNCTION("""COMPUTED_VALUE"""),"B")</f>
        <v>B</v>
      </c>
      <c r="E960" s="189" t="str">
        <f ca="1">IFERROR(__xludf.DUMMYFUNCTION("""COMPUTED_VALUE"""),"J")</f>
        <v>J</v>
      </c>
      <c r="F960" s="189" t="str">
        <f ca="1">IFERROR(__xludf.DUMMYFUNCTION("""COMPUTED_VALUE"""),"I")</f>
        <v>I</v>
      </c>
      <c r="G960" s="189">
        <f ca="1">IFERROR(__xludf.DUMMYFUNCTION("""COMPUTED_VALUE"""),2)</f>
        <v>2</v>
      </c>
      <c r="H960" s="196"/>
      <c r="I960" s="196"/>
      <c r="J960" s="196"/>
      <c r="K960" s="196"/>
      <c r="L960" s="196" t="str">
        <v/>
      </c>
      <c r="M960" s="196"/>
    </row>
    <row r="961" spans="1:13" ht="14.4" x14ac:dyDescent="0.3">
      <c r="A961" s="189" t="str">
        <f ca="1">IFERROR(__xludf.DUMMYFUNCTION("""COMPUTED_VALUE"""),"HV")</f>
        <v>HV</v>
      </c>
      <c r="B961" s="195" t="str">
        <f ca="1">IFERROR(__xludf.DUMMYFUNCTION("""COMPUTED_VALUE"""),"Mina Ali-Minayar")</f>
        <v>Mina Ali-Minayar</v>
      </c>
      <c r="C961" s="189">
        <f ca="1">IFERROR(__xludf.DUMMYFUNCTION("""COMPUTED_VALUE"""),15)</f>
        <v>15</v>
      </c>
      <c r="D961" s="189" t="str">
        <f ca="1">IFERROR(__xludf.DUMMYFUNCTION("""COMPUTED_VALUE"""),"G")</f>
        <v>G</v>
      </c>
      <c r="E961" s="189" t="str">
        <f ca="1">IFERROR(__xludf.DUMMYFUNCTION("""COMPUTED_VALUE"""),"S")</f>
        <v>S</v>
      </c>
      <c r="F961" s="189" t="str">
        <f ca="1">IFERROR(__xludf.DUMMYFUNCTION("""COMPUTED_VALUE"""),"S")</f>
        <v>S</v>
      </c>
      <c r="G961" s="189">
        <f ca="1">IFERROR(__xludf.DUMMYFUNCTION("""COMPUTED_VALUE"""),2)</f>
        <v>2</v>
      </c>
      <c r="H961" s="196"/>
      <c r="I961" s="196"/>
      <c r="J961" s="196"/>
      <c r="K961" s="196"/>
      <c r="L961" s="196" t="str">
        <v/>
      </c>
      <c r="M961" s="196"/>
    </row>
    <row r="962" spans="1:13" ht="14.4" x14ac:dyDescent="0.3">
      <c r="A962" s="189" t="str">
        <f ca="1">IFERROR(__xludf.DUMMYFUNCTION("""COMPUTED_VALUE"""),"HV")</f>
        <v>HV</v>
      </c>
      <c r="B962" s="195" t="str">
        <f ca="1">IFERROR(__xludf.DUMMYFUNCTION("""COMPUTED_VALUE"""),"Sheen Lee")</f>
        <v>Sheen Lee</v>
      </c>
      <c r="C962" s="189">
        <f ca="1">IFERROR(__xludf.DUMMYFUNCTION("""COMPUTED_VALUE"""),15)</f>
        <v>15</v>
      </c>
      <c r="D962" s="189" t="str">
        <f ca="1">IFERROR(__xludf.DUMMYFUNCTION("""COMPUTED_VALUE"""),"B")</f>
        <v>B</v>
      </c>
      <c r="E962" s="189" t="str">
        <f ca="1">IFERROR(__xludf.DUMMYFUNCTION("""COMPUTED_VALUE"""),"S")</f>
        <v>S</v>
      </c>
      <c r="F962" s="189" t="str">
        <f ca="1">IFERROR(__xludf.DUMMYFUNCTION("""COMPUTED_VALUE"""),"S")</f>
        <v>S</v>
      </c>
      <c r="G962" s="189">
        <f ca="1">IFERROR(__xludf.DUMMYFUNCTION("""COMPUTED_VALUE"""),2)</f>
        <v>2</v>
      </c>
      <c r="H962" s="196" t="s">
        <v>415</v>
      </c>
      <c r="I962" s="196"/>
      <c r="J962" s="196" t="s">
        <v>29</v>
      </c>
      <c r="K962" s="196"/>
      <c r="L962" s="196" t="str">
        <v xml:space="preserve"> 122.70</v>
      </c>
      <c r="M962" s="196"/>
    </row>
    <row r="963" spans="1:13" ht="14.4" x14ac:dyDescent="0.3">
      <c r="A963" s="189" t="str">
        <f ca="1">IFERROR(__xludf.DUMMYFUNCTION("""COMPUTED_VALUE"""),"HV")</f>
        <v>HV</v>
      </c>
      <c r="B963" s="195" t="str">
        <f ca="1">IFERROR(__xludf.DUMMYFUNCTION("""COMPUTED_VALUE"""),"Ward Gardiner")</f>
        <v>Ward Gardiner</v>
      </c>
      <c r="C963" s="189">
        <f ca="1">IFERROR(__xludf.DUMMYFUNCTION("""COMPUTED_VALUE"""),16)</f>
        <v>16</v>
      </c>
      <c r="D963" s="189" t="str">
        <f ca="1">IFERROR(__xludf.DUMMYFUNCTION("""COMPUTED_VALUE"""),"B")</f>
        <v>B</v>
      </c>
      <c r="E963" s="189" t="str">
        <f ca="1">IFERROR(__xludf.DUMMYFUNCTION("""COMPUTED_VALUE"""),"S")</f>
        <v>S</v>
      </c>
      <c r="F963" s="189" t="str">
        <f ca="1">IFERROR(__xludf.DUMMYFUNCTION("""COMPUTED_VALUE"""),"S")</f>
        <v>S</v>
      </c>
      <c r="G963" s="189">
        <f ca="1">IFERROR(__xludf.DUMMYFUNCTION("""COMPUTED_VALUE"""),2)</f>
        <v>2</v>
      </c>
      <c r="H963" s="196" t="s">
        <v>416</v>
      </c>
      <c r="I963" s="196"/>
      <c r="J963" s="196" t="s">
        <v>29</v>
      </c>
      <c r="K963" s="196"/>
      <c r="L963" s="196" t="str">
        <v xml:space="preserve"> 149.80</v>
      </c>
      <c r="M963" s="196"/>
    </row>
    <row r="964" spans="1:13" ht="14.4" x14ac:dyDescent="0.3">
      <c r="A964" s="189" t="str">
        <f ca="1">IFERROR(__xludf.DUMMYFUNCTION("""COMPUTED_VALUE"""),"IC")</f>
        <v>IC</v>
      </c>
      <c r="B964" s="195" t="str">
        <f ca="1">IFERROR(__xludf.DUMMYFUNCTION("""COMPUTED_VALUE"""),"Eliana Betteley")</f>
        <v>Eliana Betteley</v>
      </c>
      <c r="C964" s="189">
        <f ca="1">IFERROR(__xludf.DUMMYFUNCTION("""COMPUTED_VALUE"""),5)</f>
        <v>5</v>
      </c>
      <c r="D964" s="189" t="str">
        <f ca="1">IFERROR(__xludf.DUMMYFUNCTION("""COMPUTED_VALUE"""),"G")</f>
        <v>G</v>
      </c>
      <c r="E964" s="189" t="str">
        <f ca="1">IFERROR(__xludf.DUMMYFUNCTION("""COMPUTED_VALUE"""),"F")</f>
        <v>F</v>
      </c>
      <c r="F964" s="189" t="str">
        <f ca="1">IFERROR(__xludf.DUMMYFUNCTION("""COMPUTED_VALUE"""),"J")</f>
        <v>J</v>
      </c>
      <c r="G964" s="189">
        <f ca="1">IFERROR(__xludf.DUMMYFUNCTION("""COMPUTED_VALUE"""),8)</f>
        <v>8</v>
      </c>
      <c r="H964" s="196"/>
      <c r="I964" s="196"/>
      <c r="J964" s="196"/>
      <c r="K964" s="196"/>
      <c r="L964" s="196" t="str">
        <v/>
      </c>
      <c r="M964" s="196"/>
    </row>
    <row r="965" spans="1:13" ht="14.4" x14ac:dyDescent="0.3">
      <c r="A965" s="189" t="str">
        <f ca="1">IFERROR(__xludf.DUMMYFUNCTION("""COMPUTED_VALUE"""),"IC")</f>
        <v>IC</v>
      </c>
      <c r="B965" s="195" t="str">
        <f ca="1">IFERROR(__xludf.DUMMYFUNCTION("""COMPUTED_VALUE"""),"Miriam Mikias")</f>
        <v>Miriam Mikias</v>
      </c>
      <c r="C965" s="189">
        <f ca="1">IFERROR(__xludf.DUMMYFUNCTION("""COMPUTED_VALUE"""),10)</f>
        <v>10</v>
      </c>
      <c r="D965" s="189" t="str">
        <f ca="1">IFERROR(__xludf.DUMMYFUNCTION("""COMPUTED_VALUE"""),"G")</f>
        <v>G</v>
      </c>
      <c r="E965" s="189" t="str">
        <f ca="1">IFERROR(__xludf.DUMMYFUNCTION("""COMPUTED_VALUE"""),"F")</f>
        <v>F</v>
      </c>
      <c r="F965" s="189" t="str">
        <f ca="1">IFERROR(__xludf.DUMMYFUNCTION("""COMPUTED_VALUE"""),"J")</f>
        <v>J</v>
      </c>
      <c r="G965" s="189">
        <f ca="1">IFERROR(__xludf.DUMMYFUNCTION("""COMPUTED_VALUE"""),8)</f>
        <v>8</v>
      </c>
      <c r="H965" s="196"/>
      <c r="I965" s="196"/>
      <c r="J965" s="196"/>
      <c r="K965" s="196"/>
      <c r="L965" s="196" t="str">
        <v/>
      </c>
      <c r="M965" s="196"/>
    </row>
    <row r="966" spans="1:13" ht="14.4" x14ac:dyDescent="0.3">
      <c r="A966" s="189" t="str">
        <f ca="1">IFERROR(__xludf.DUMMYFUNCTION("""COMPUTED_VALUE"""),"IC")</f>
        <v>IC</v>
      </c>
      <c r="B966" s="195" t="str">
        <f ca="1">IFERROR(__xludf.DUMMYFUNCTION("""COMPUTED_VALUE"""),"Baiden Vu")</f>
        <v>Baiden Vu</v>
      </c>
      <c r="C966" s="189">
        <f ca="1">IFERROR(__xludf.DUMMYFUNCTION("""COMPUTED_VALUE"""),9)</f>
        <v>9</v>
      </c>
      <c r="D966" s="189" t="str">
        <f ca="1">IFERROR(__xludf.DUMMYFUNCTION("""COMPUTED_VALUE"""),"B")</f>
        <v>B</v>
      </c>
      <c r="E966" s="189" t="str">
        <f ca="1">IFERROR(__xludf.DUMMYFUNCTION("""COMPUTED_VALUE"""),"F")</f>
        <v>F</v>
      </c>
      <c r="F966" s="189" t="str">
        <f ca="1">IFERROR(__xludf.DUMMYFUNCTION("""COMPUTED_VALUE"""),"J")</f>
        <v>J</v>
      </c>
      <c r="G966" s="189">
        <f ca="1">IFERROR(__xludf.DUMMYFUNCTION("""COMPUTED_VALUE"""),8)</f>
        <v>8</v>
      </c>
      <c r="H966" s="196"/>
      <c r="I966" s="196"/>
      <c r="J966" s="196"/>
      <c r="K966" s="196"/>
      <c r="L966" s="196" t="str">
        <v/>
      </c>
      <c r="M966" s="196"/>
    </row>
    <row r="967" spans="1:13" ht="14.4" x14ac:dyDescent="0.3">
      <c r="A967" s="189" t="str">
        <f ca="1">IFERROR(__xludf.DUMMYFUNCTION("""COMPUTED_VALUE"""),"IC")</f>
        <v>IC</v>
      </c>
      <c r="B967" s="195" t="str">
        <f ca="1">IFERROR(__xludf.DUMMYFUNCTION("""COMPUTED_VALUE"""),"Bryce Doorley")</f>
        <v>Bryce Doorley</v>
      </c>
      <c r="C967" s="189">
        <f ca="1">IFERROR(__xludf.DUMMYFUNCTION("""COMPUTED_VALUE"""),5)</f>
        <v>5</v>
      </c>
      <c r="D967" s="189" t="str">
        <f ca="1">IFERROR(__xludf.DUMMYFUNCTION("""COMPUTED_VALUE"""),"B")</f>
        <v>B</v>
      </c>
      <c r="E967" s="189" t="str">
        <f ca="1">IFERROR(__xludf.DUMMYFUNCTION("""COMPUTED_VALUE"""),"F")</f>
        <v>F</v>
      </c>
      <c r="F967" s="189" t="str">
        <f ca="1">IFERROR(__xludf.DUMMYFUNCTION("""COMPUTED_VALUE"""),"J")</f>
        <v>J</v>
      </c>
      <c r="G967" s="189">
        <f ca="1">IFERROR(__xludf.DUMMYFUNCTION("""COMPUTED_VALUE"""),8)</f>
        <v>8</v>
      </c>
      <c r="H967" s="196"/>
      <c r="I967" s="196"/>
      <c r="J967" s="196"/>
      <c r="K967" s="196"/>
      <c r="L967" s="196" t="str">
        <v/>
      </c>
      <c r="M967" s="196"/>
    </row>
    <row r="968" spans="1:13" ht="14.4" x14ac:dyDescent="0.3">
      <c r="A968" s="189" t="str">
        <f ca="1">IFERROR(__xludf.DUMMYFUNCTION("""COMPUTED_VALUE"""),"IC")</f>
        <v>IC</v>
      </c>
      <c r="B968" s="195" t="str">
        <f ca="1">IFERROR(__xludf.DUMMYFUNCTION("""COMPUTED_VALUE"""),"Emeric Alvarez")</f>
        <v>Emeric Alvarez</v>
      </c>
      <c r="C968" s="189">
        <f ca="1">IFERROR(__xludf.DUMMYFUNCTION("""COMPUTED_VALUE"""),9)</f>
        <v>9</v>
      </c>
      <c r="D968" s="189" t="str">
        <f ca="1">IFERROR(__xludf.DUMMYFUNCTION("""COMPUTED_VALUE"""),"B")</f>
        <v>B</v>
      </c>
      <c r="E968" s="189" t="str">
        <f ca="1">IFERROR(__xludf.DUMMYFUNCTION("""COMPUTED_VALUE"""),"F")</f>
        <v>F</v>
      </c>
      <c r="F968" s="189" t="str">
        <f ca="1">IFERROR(__xludf.DUMMYFUNCTION("""COMPUTED_VALUE"""),"J")</f>
        <v>J</v>
      </c>
      <c r="G968" s="189">
        <f ca="1">IFERROR(__xludf.DUMMYFUNCTION("""COMPUTED_VALUE"""),8)</f>
        <v>8</v>
      </c>
      <c r="H968" s="196"/>
      <c r="I968" s="196"/>
      <c r="J968" s="196"/>
      <c r="K968" s="196"/>
      <c r="L968" s="196" t="str">
        <v/>
      </c>
      <c r="M968" s="196"/>
    </row>
    <row r="969" spans="1:13" ht="14.4" x14ac:dyDescent="0.3">
      <c r="A969" s="189" t="str">
        <f ca="1">IFERROR(__xludf.DUMMYFUNCTION("""COMPUTED_VALUE"""),"IC")</f>
        <v>IC</v>
      </c>
      <c r="B969" s="195" t="str">
        <f ca="1">IFERROR(__xludf.DUMMYFUNCTION("""COMPUTED_VALUE"""),"Kepler Vu")</f>
        <v>Kepler Vu</v>
      </c>
      <c r="C969" s="189">
        <f ca="1">IFERROR(__xludf.DUMMYFUNCTION("""COMPUTED_VALUE"""),6)</f>
        <v>6</v>
      </c>
      <c r="D969" s="189" t="str">
        <f ca="1">IFERROR(__xludf.DUMMYFUNCTION("""COMPUTED_VALUE"""),"B")</f>
        <v>B</v>
      </c>
      <c r="E969" s="189" t="str">
        <f ca="1">IFERROR(__xludf.DUMMYFUNCTION("""COMPUTED_VALUE"""),"F")</f>
        <v>F</v>
      </c>
      <c r="F969" s="189" t="str">
        <f ca="1">IFERROR(__xludf.DUMMYFUNCTION("""COMPUTED_VALUE"""),"J")</f>
        <v>J</v>
      </c>
      <c r="G969" s="189">
        <f ca="1">IFERROR(__xludf.DUMMYFUNCTION("""COMPUTED_VALUE"""),8)</f>
        <v>8</v>
      </c>
      <c r="H969" s="196"/>
      <c r="I969" s="196"/>
      <c r="J969" s="196"/>
      <c r="K969" s="196"/>
      <c r="L969" s="196" t="str">
        <v/>
      </c>
      <c r="M969" s="196"/>
    </row>
    <row r="970" spans="1:13" ht="14.4" x14ac:dyDescent="0.3">
      <c r="A970" s="189" t="str">
        <f ca="1">IFERROR(__xludf.DUMMYFUNCTION("""COMPUTED_VALUE"""),"IC")</f>
        <v>IC</v>
      </c>
      <c r="B970" s="195" t="str">
        <f ca="1">IFERROR(__xludf.DUMMYFUNCTION("""COMPUTED_VALUE"""),"Leo Nadasi")</f>
        <v>Leo Nadasi</v>
      </c>
      <c r="C970" s="189">
        <f ca="1">IFERROR(__xludf.DUMMYFUNCTION("""COMPUTED_VALUE"""),7)</f>
        <v>7</v>
      </c>
      <c r="D970" s="189" t="str">
        <f ca="1">IFERROR(__xludf.DUMMYFUNCTION("""COMPUTED_VALUE"""),"B")</f>
        <v>B</v>
      </c>
      <c r="E970" s="189" t="str">
        <f ca="1">IFERROR(__xludf.DUMMYFUNCTION("""COMPUTED_VALUE"""),"F")</f>
        <v>F</v>
      </c>
      <c r="F970" s="189" t="str">
        <f ca="1">IFERROR(__xludf.DUMMYFUNCTION("""COMPUTED_VALUE"""),"J")</f>
        <v>J</v>
      </c>
      <c r="G970" s="189">
        <f ca="1">IFERROR(__xludf.DUMMYFUNCTION("""COMPUTED_VALUE"""),8)</f>
        <v>8</v>
      </c>
      <c r="H970" s="196"/>
      <c r="I970" s="196"/>
      <c r="J970" s="196"/>
      <c r="K970" s="196"/>
      <c r="L970" s="196" t="str">
        <v/>
      </c>
      <c r="M970" s="196"/>
    </row>
    <row r="971" spans="1:13" ht="14.4" x14ac:dyDescent="0.3">
      <c r="A971" s="189" t="str">
        <f ca="1">IFERROR(__xludf.DUMMYFUNCTION("""COMPUTED_VALUE"""),"IC")</f>
        <v>IC</v>
      </c>
      <c r="B971" s="195" t="str">
        <f ca="1">IFERROR(__xludf.DUMMYFUNCTION("""COMPUTED_VALUE"""),"Luke Havasy")</f>
        <v>Luke Havasy</v>
      </c>
      <c r="C971" s="189">
        <f ca="1">IFERROR(__xludf.DUMMYFUNCTION("""COMPUTED_VALUE"""),13)</f>
        <v>13</v>
      </c>
      <c r="D971" s="189" t="str">
        <f ca="1">IFERROR(__xludf.DUMMYFUNCTION("""COMPUTED_VALUE"""),"B")</f>
        <v>B</v>
      </c>
      <c r="E971" s="189" t="str">
        <f ca="1">IFERROR(__xludf.DUMMYFUNCTION("""COMPUTED_VALUE"""),"I")</f>
        <v>I</v>
      </c>
      <c r="F971" s="189" t="str">
        <f ca="1">IFERROR(__xludf.DUMMYFUNCTION("""COMPUTED_VALUE"""),"S")</f>
        <v>S</v>
      </c>
      <c r="G971" s="189">
        <f ca="1">IFERROR(__xludf.DUMMYFUNCTION("""COMPUTED_VALUE"""),8)</f>
        <v>8</v>
      </c>
      <c r="H971" s="196" t="s">
        <v>417</v>
      </c>
      <c r="I971" s="196"/>
      <c r="J971" s="196" t="s">
        <v>29</v>
      </c>
      <c r="K971" s="196"/>
      <c r="L971" s="196" t="str">
        <v xml:space="preserve"> 131.30</v>
      </c>
      <c r="M971" s="196"/>
    </row>
    <row r="972" spans="1:13" ht="14.4" x14ac:dyDescent="0.3">
      <c r="A972" s="189" t="str">
        <f ca="1">IFERROR(__xludf.DUMMYFUNCTION("""COMPUTED_VALUE"""),"IC")</f>
        <v>IC</v>
      </c>
      <c r="B972" s="195" t="str">
        <f ca="1">IFERROR(__xludf.DUMMYFUNCTION("""COMPUTED_VALUE"""),"Sean Borders")</f>
        <v>Sean Borders</v>
      </c>
      <c r="C972" s="189">
        <f ca="1">IFERROR(__xludf.DUMMYFUNCTION("""COMPUTED_VALUE"""),13)</f>
        <v>13</v>
      </c>
      <c r="D972" s="189" t="str">
        <f ca="1">IFERROR(__xludf.DUMMYFUNCTION("""COMPUTED_VALUE"""),"B")</f>
        <v>B</v>
      </c>
      <c r="E972" s="189" t="str">
        <f ca="1">IFERROR(__xludf.DUMMYFUNCTION("""COMPUTED_VALUE"""),"I")</f>
        <v>I</v>
      </c>
      <c r="F972" s="189" t="str">
        <f ca="1">IFERROR(__xludf.DUMMYFUNCTION("""COMPUTED_VALUE"""),"S")</f>
        <v>S</v>
      </c>
      <c r="G972" s="189">
        <f ca="1">IFERROR(__xludf.DUMMYFUNCTION("""COMPUTED_VALUE"""),8)</f>
        <v>8</v>
      </c>
      <c r="H972" s="196"/>
      <c r="I972" s="196"/>
      <c r="J972" s="196"/>
      <c r="K972" s="196"/>
      <c r="L972" s="196" t="str">
        <v/>
      </c>
      <c r="M972" s="196"/>
    </row>
    <row r="973" spans="1:13" ht="14.4" x14ac:dyDescent="0.3">
      <c r="A973" s="189" t="str">
        <f ca="1">IFERROR(__xludf.DUMMYFUNCTION("""COMPUTED_VALUE"""),"IC")</f>
        <v>IC</v>
      </c>
      <c r="B973" s="195" t="str">
        <f ca="1">IFERROR(__xludf.DUMMYFUNCTION("""COMPUTED_VALUE"""),"Clara Meyers")</f>
        <v>Clara Meyers</v>
      </c>
      <c r="C973" s="189">
        <f ca="1">IFERROR(__xludf.DUMMYFUNCTION("""COMPUTED_VALUE"""),11)</f>
        <v>11</v>
      </c>
      <c r="D973" s="189" t="str">
        <f ca="1">IFERROR(__xludf.DUMMYFUNCTION("""COMPUTED_VALUE"""),"G")</f>
        <v>G</v>
      </c>
      <c r="E973" s="189" t="str">
        <f ca="1">IFERROR(__xludf.DUMMYFUNCTION("""COMPUTED_VALUE"""),"J")</f>
        <v>J</v>
      </c>
      <c r="F973" s="189" t="str">
        <f ca="1">IFERROR(__xludf.DUMMYFUNCTION("""COMPUTED_VALUE"""),"I")</f>
        <v>I</v>
      </c>
      <c r="G973" s="189">
        <f ca="1">IFERROR(__xludf.DUMMYFUNCTION("""COMPUTED_VALUE"""),8)</f>
        <v>8</v>
      </c>
      <c r="H973" s="196" t="s">
        <v>418</v>
      </c>
      <c r="I973" s="196"/>
      <c r="J973" s="196" t="s">
        <v>64</v>
      </c>
      <c r="K973" s="196"/>
      <c r="L973" s="196" t="str">
        <v xml:space="preserve"> -120.30</v>
      </c>
      <c r="M973" s="196"/>
    </row>
    <row r="974" spans="1:13" ht="14.4" x14ac:dyDescent="0.3">
      <c r="A974" s="189" t="str">
        <f ca="1">IFERROR(__xludf.DUMMYFUNCTION("""COMPUTED_VALUE"""),"IC")</f>
        <v>IC</v>
      </c>
      <c r="B974" s="195" t="str">
        <f ca="1">IFERROR(__xludf.DUMMYFUNCTION("""COMPUTED_VALUE"""),"Rosalie Thornton")</f>
        <v>Rosalie Thornton</v>
      </c>
      <c r="C974" s="189">
        <f ca="1">IFERROR(__xludf.DUMMYFUNCTION("""COMPUTED_VALUE"""),11)</f>
        <v>11</v>
      </c>
      <c r="D974" s="189" t="str">
        <f ca="1">IFERROR(__xludf.DUMMYFUNCTION("""COMPUTED_VALUE"""),"G")</f>
        <v>G</v>
      </c>
      <c r="E974" s="189" t="str">
        <f ca="1">IFERROR(__xludf.DUMMYFUNCTION("""COMPUTED_VALUE"""),"J")</f>
        <v>J</v>
      </c>
      <c r="F974" s="189" t="str">
        <f ca="1">IFERROR(__xludf.DUMMYFUNCTION("""COMPUTED_VALUE"""),"I")</f>
        <v>I</v>
      </c>
      <c r="G974" s="189">
        <f ca="1">IFERROR(__xludf.DUMMYFUNCTION("""COMPUTED_VALUE"""),8)</f>
        <v>8</v>
      </c>
      <c r="H974" s="196" t="s">
        <v>419</v>
      </c>
      <c r="I974" s="196"/>
      <c r="J974" s="196" t="s">
        <v>29</v>
      </c>
      <c r="K974" s="196"/>
      <c r="L974" s="196" t="str">
        <v xml:space="preserve"> 67.95</v>
      </c>
      <c r="M974" s="196"/>
    </row>
    <row r="975" spans="1:13" ht="14.4" x14ac:dyDescent="0.3">
      <c r="A975" s="189" t="str">
        <f ca="1">IFERROR(__xludf.DUMMYFUNCTION("""COMPUTED_VALUE"""),"IC")</f>
        <v>IC</v>
      </c>
      <c r="B975" s="195" t="str">
        <f ca="1">IFERROR(__xludf.DUMMYFUNCTION("""COMPUTED_VALUE"""),"Emmett Kropf")</f>
        <v>Emmett Kropf</v>
      </c>
      <c r="C975" s="189">
        <f ca="1">IFERROR(__xludf.DUMMYFUNCTION("""COMPUTED_VALUE"""),12)</f>
        <v>12</v>
      </c>
      <c r="D975" s="189" t="str">
        <f ca="1">IFERROR(__xludf.DUMMYFUNCTION("""COMPUTED_VALUE"""),"B")</f>
        <v>B</v>
      </c>
      <c r="E975" s="189" t="str">
        <f ca="1">IFERROR(__xludf.DUMMYFUNCTION("""COMPUTED_VALUE"""),"J")</f>
        <v>J</v>
      </c>
      <c r="F975" s="189" t="str">
        <f ca="1">IFERROR(__xludf.DUMMYFUNCTION("""COMPUTED_VALUE"""),"I")</f>
        <v>I</v>
      </c>
      <c r="G975" s="189">
        <f ca="1">IFERROR(__xludf.DUMMYFUNCTION("""COMPUTED_VALUE"""),8)</f>
        <v>8</v>
      </c>
      <c r="H975" s="196"/>
      <c r="I975" s="196"/>
      <c r="J975" s="196"/>
      <c r="K975" s="196"/>
      <c r="L975" s="196" t="str">
        <v/>
      </c>
      <c r="M975" s="196"/>
    </row>
    <row r="976" spans="1:13" ht="14.4" x14ac:dyDescent="0.3">
      <c r="A976" s="189" t="str">
        <f ca="1">IFERROR(__xludf.DUMMYFUNCTION("""COMPUTED_VALUE"""),"IC")</f>
        <v>IC</v>
      </c>
      <c r="B976" s="195" t="str">
        <f ca="1">IFERROR(__xludf.DUMMYFUNCTION("""COMPUTED_VALUE"""),"Emily Bush")</f>
        <v>Emily Bush</v>
      </c>
      <c r="C976" s="189">
        <f ca="1">IFERROR(__xludf.DUMMYFUNCTION("""COMPUTED_VALUE"""),17)</f>
        <v>17</v>
      </c>
      <c r="D976" s="189" t="str">
        <f ca="1">IFERROR(__xludf.DUMMYFUNCTION("""COMPUTED_VALUE"""),"G")</f>
        <v>G</v>
      </c>
      <c r="E976" s="189" t="str">
        <f ca="1">IFERROR(__xludf.DUMMYFUNCTION("""COMPUTED_VALUE"""),"S")</f>
        <v>S</v>
      </c>
      <c r="F976" s="189" t="str">
        <f ca="1">IFERROR(__xludf.DUMMYFUNCTION("""COMPUTED_VALUE"""),"S")</f>
        <v>S</v>
      </c>
      <c r="G976" s="189">
        <f ca="1">IFERROR(__xludf.DUMMYFUNCTION("""COMPUTED_VALUE"""),8)</f>
        <v>8</v>
      </c>
      <c r="H976" s="196" t="s">
        <v>420</v>
      </c>
      <c r="I976" s="196"/>
      <c r="J976" s="196" t="s">
        <v>29</v>
      </c>
      <c r="K976" s="196"/>
      <c r="L976" s="196" t="str">
        <v xml:space="preserve"> 156.20</v>
      </c>
      <c r="M976" s="196"/>
    </row>
    <row r="977" spans="1:13" ht="14.4" x14ac:dyDescent="0.3">
      <c r="A977" s="189" t="str">
        <f ca="1">IFERROR(__xludf.DUMMYFUNCTION("""COMPUTED_VALUE"""),"IC")</f>
        <v>IC</v>
      </c>
      <c r="B977" s="195" t="str">
        <f ca="1">IFERROR(__xludf.DUMMYFUNCTION("""COMPUTED_VALUE"""),"Everett Thornton")</f>
        <v>Everett Thornton</v>
      </c>
      <c r="C977" s="189">
        <f ca="1">IFERROR(__xludf.DUMMYFUNCTION("""COMPUTED_VALUE"""),15)</f>
        <v>15</v>
      </c>
      <c r="D977" s="189" t="str">
        <f ca="1">IFERROR(__xludf.DUMMYFUNCTION("""COMPUTED_VALUE"""),"B")</f>
        <v>B</v>
      </c>
      <c r="E977" s="189" t="str">
        <f ca="1">IFERROR(__xludf.DUMMYFUNCTION("""COMPUTED_VALUE"""),"S")</f>
        <v>S</v>
      </c>
      <c r="F977" s="189" t="str">
        <f ca="1">IFERROR(__xludf.DUMMYFUNCTION("""COMPUTED_VALUE"""),"S")</f>
        <v>S</v>
      </c>
      <c r="G977" s="189">
        <f ca="1">IFERROR(__xludf.DUMMYFUNCTION("""COMPUTED_VALUE"""),8)</f>
        <v>8</v>
      </c>
      <c r="H977" s="196"/>
      <c r="I977" s="196"/>
      <c r="J977" s="196"/>
      <c r="K977" s="196"/>
      <c r="L977" s="196" t="str">
        <v/>
      </c>
      <c r="M977" s="196"/>
    </row>
    <row r="978" spans="1:13" ht="14.4" x14ac:dyDescent="0.3">
      <c r="A978" s="189" t="str">
        <f ca="1">IFERROR(__xludf.DUMMYFUNCTION("""COMPUTED_VALUE"""),"IC")</f>
        <v>IC</v>
      </c>
      <c r="B978" s="195" t="str">
        <f ca="1">IFERROR(__xludf.DUMMYFUNCTION("""COMPUTED_VALUE"""),"Grant Thornton")</f>
        <v>Grant Thornton</v>
      </c>
      <c r="C978" s="189">
        <f ca="1">IFERROR(__xludf.DUMMYFUNCTION("""COMPUTED_VALUE"""),17)</f>
        <v>17</v>
      </c>
      <c r="D978" s="189" t="str">
        <f ca="1">IFERROR(__xludf.DUMMYFUNCTION("""COMPUTED_VALUE"""),"B")</f>
        <v>B</v>
      </c>
      <c r="E978" s="189" t="str">
        <f ca="1">IFERROR(__xludf.DUMMYFUNCTION("""COMPUTED_VALUE"""),"S")</f>
        <v>S</v>
      </c>
      <c r="F978" s="189" t="str">
        <f ca="1">IFERROR(__xludf.DUMMYFUNCTION("""COMPUTED_VALUE"""),"S")</f>
        <v>S</v>
      </c>
      <c r="G978" s="189">
        <f ca="1">IFERROR(__xludf.DUMMYFUNCTION("""COMPUTED_VALUE"""),8)</f>
        <v>8</v>
      </c>
      <c r="H978" s="196" t="s">
        <v>421</v>
      </c>
      <c r="I978" s="196"/>
      <c r="J978" s="196" t="s">
        <v>29</v>
      </c>
      <c r="K978" s="196"/>
      <c r="L978" s="196" t="str">
        <v xml:space="preserve"> 96.55</v>
      </c>
      <c r="M978" s="196"/>
    </row>
    <row r="979" spans="1:13" ht="14.4" x14ac:dyDescent="0.3">
      <c r="A979" s="189" t="str">
        <f ca="1">IFERROR(__xludf.DUMMYFUNCTION("""COMPUTED_VALUE"""),"KG")</f>
        <v>KG</v>
      </c>
      <c r="B979" s="195" t="str">
        <f ca="1">IFERROR(__xludf.DUMMYFUNCTION("""COMPUTED_VALUE"""),"Abby Donnelly")</f>
        <v>Abby Donnelly</v>
      </c>
      <c r="C979" s="189">
        <f ca="1">IFERROR(__xludf.DUMMYFUNCTION("""COMPUTED_VALUE"""),10)</f>
        <v>10</v>
      </c>
      <c r="D979" s="189" t="str">
        <f ca="1">IFERROR(__xludf.DUMMYFUNCTION("""COMPUTED_VALUE"""),"G")</f>
        <v>G</v>
      </c>
      <c r="E979" s="189" t="str">
        <f ca="1">IFERROR(__xludf.DUMMYFUNCTION("""COMPUTED_VALUE"""),"F")</f>
        <v>F</v>
      </c>
      <c r="F979" s="189" t="str">
        <f ca="1">IFERROR(__xludf.DUMMYFUNCTION("""COMPUTED_VALUE"""),"J")</f>
        <v>J</v>
      </c>
      <c r="G979" s="189">
        <f ca="1">IFERROR(__xludf.DUMMYFUNCTION("""COMPUTED_VALUE"""),2)</f>
        <v>2</v>
      </c>
      <c r="H979" s="196" t="s">
        <v>422</v>
      </c>
      <c r="I979" s="196"/>
      <c r="J979" s="196" t="s">
        <v>29</v>
      </c>
      <c r="K979" s="196"/>
      <c r="L979" s="196" t="str">
        <v xml:space="preserve"> 34.30</v>
      </c>
      <c r="M979" s="196"/>
    </row>
    <row r="980" spans="1:13" ht="14.4" x14ac:dyDescent="0.3">
      <c r="A980" s="189" t="str">
        <f ca="1">IFERROR(__xludf.DUMMYFUNCTION("""COMPUTED_VALUE"""),"KG")</f>
        <v>KG</v>
      </c>
      <c r="B980" s="195" t="str">
        <f ca="1">IFERROR(__xludf.DUMMYFUNCTION("""COMPUTED_VALUE"""),"Eva Buonforte")</f>
        <v>Eva Buonforte</v>
      </c>
      <c r="C980" s="189">
        <f ca="1">IFERROR(__xludf.DUMMYFUNCTION("""COMPUTED_VALUE"""),6)</f>
        <v>6</v>
      </c>
      <c r="D980" s="189" t="str">
        <f ca="1">IFERROR(__xludf.DUMMYFUNCTION("""COMPUTED_VALUE"""),"G")</f>
        <v>G</v>
      </c>
      <c r="E980" s="189" t="str">
        <f ca="1">IFERROR(__xludf.DUMMYFUNCTION("""COMPUTED_VALUE"""),"F")</f>
        <v>F</v>
      </c>
      <c r="F980" s="189" t="str">
        <f ca="1">IFERROR(__xludf.DUMMYFUNCTION("""COMPUTED_VALUE"""),"J")</f>
        <v>J</v>
      </c>
      <c r="G980" s="189">
        <f ca="1">IFERROR(__xludf.DUMMYFUNCTION("""COMPUTED_VALUE"""),2)</f>
        <v>2</v>
      </c>
      <c r="H980" s="196"/>
      <c r="I980" s="196"/>
      <c r="J980" s="196"/>
      <c r="K980" s="196"/>
      <c r="L980" s="196" t="str">
        <v/>
      </c>
      <c r="M980" s="196"/>
    </row>
    <row r="981" spans="1:13" ht="14.4" x14ac:dyDescent="0.3">
      <c r="A981" s="189" t="str">
        <f ca="1">IFERROR(__xludf.DUMMYFUNCTION("""COMPUTED_VALUE"""),"KG")</f>
        <v>KG</v>
      </c>
      <c r="B981" s="195" t="str">
        <f ca="1">IFERROR(__xludf.DUMMYFUNCTION("""COMPUTED_VALUE"""),"Evie Jeschke")</f>
        <v>Evie Jeschke</v>
      </c>
      <c r="C981" s="189">
        <f ca="1">IFERROR(__xludf.DUMMYFUNCTION("""COMPUTED_VALUE"""),10)</f>
        <v>10</v>
      </c>
      <c r="D981" s="189" t="str">
        <f ca="1">IFERROR(__xludf.DUMMYFUNCTION("""COMPUTED_VALUE"""),"G")</f>
        <v>G</v>
      </c>
      <c r="E981" s="189" t="str">
        <f ca="1">IFERROR(__xludf.DUMMYFUNCTION("""COMPUTED_VALUE"""),"F")</f>
        <v>F</v>
      </c>
      <c r="F981" s="189" t="str">
        <f ca="1">IFERROR(__xludf.DUMMYFUNCTION("""COMPUTED_VALUE"""),"J")</f>
        <v>J</v>
      </c>
      <c r="G981" s="189">
        <f ca="1">IFERROR(__xludf.DUMMYFUNCTION("""COMPUTED_VALUE"""),2)</f>
        <v>2</v>
      </c>
      <c r="H981" s="196" t="s">
        <v>308</v>
      </c>
      <c r="I981" s="196"/>
      <c r="J981" s="196" t="s">
        <v>29</v>
      </c>
      <c r="K981" s="196"/>
      <c r="L981" s="196" t="str">
        <v xml:space="preserve"> 48.30</v>
      </c>
      <c r="M981" s="196"/>
    </row>
    <row r="982" spans="1:13" ht="14.4" x14ac:dyDescent="0.3">
      <c r="A982" s="189" t="str">
        <f ca="1">IFERROR(__xludf.DUMMYFUNCTION("""COMPUTED_VALUE"""),"KG")</f>
        <v>KG</v>
      </c>
      <c r="B982" s="195" t="str">
        <f ca="1">IFERROR(__xludf.DUMMYFUNCTION("""COMPUTED_VALUE"""),"Holly Denniston")</f>
        <v>Holly Denniston</v>
      </c>
      <c r="C982" s="189">
        <f ca="1">IFERROR(__xludf.DUMMYFUNCTION("""COMPUTED_VALUE"""),9)</f>
        <v>9</v>
      </c>
      <c r="D982" s="189" t="str">
        <f ca="1">IFERROR(__xludf.DUMMYFUNCTION("""COMPUTED_VALUE"""),"G")</f>
        <v>G</v>
      </c>
      <c r="E982" s="189" t="str">
        <f ca="1">IFERROR(__xludf.DUMMYFUNCTION("""COMPUTED_VALUE"""),"F")</f>
        <v>F</v>
      </c>
      <c r="F982" s="189" t="str">
        <f ca="1">IFERROR(__xludf.DUMMYFUNCTION("""COMPUTED_VALUE"""),"J")</f>
        <v>J</v>
      </c>
      <c r="G982" s="189">
        <f ca="1">IFERROR(__xludf.DUMMYFUNCTION("""COMPUTED_VALUE"""),2)</f>
        <v>2</v>
      </c>
      <c r="H982" s="196" t="s">
        <v>423</v>
      </c>
      <c r="I982" s="196"/>
      <c r="J982" s="196" t="s">
        <v>29</v>
      </c>
      <c r="K982" s="196"/>
      <c r="L982" s="196" t="str">
        <v xml:space="preserve"> 79.10</v>
      </c>
      <c r="M982" s="196"/>
    </row>
    <row r="983" spans="1:13" ht="14.4" x14ac:dyDescent="0.3">
      <c r="A983" s="189" t="str">
        <f ca="1">IFERROR(__xludf.DUMMYFUNCTION("""COMPUTED_VALUE"""),"KG")</f>
        <v>KG</v>
      </c>
      <c r="B983" s="195" t="str">
        <f ca="1">IFERROR(__xludf.DUMMYFUNCTION("""COMPUTED_VALUE"""),"Josephine Daher")</f>
        <v>Josephine Daher</v>
      </c>
      <c r="C983" s="189">
        <f ca="1">IFERROR(__xludf.DUMMYFUNCTION("""COMPUTED_VALUE"""),8)</f>
        <v>8</v>
      </c>
      <c r="D983" s="189" t="str">
        <f ca="1">IFERROR(__xludf.DUMMYFUNCTION("""COMPUTED_VALUE"""),"G")</f>
        <v>G</v>
      </c>
      <c r="E983" s="189" t="str">
        <f ca="1">IFERROR(__xludf.DUMMYFUNCTION("""COMPUTED_VALUE"""),"F")</f>
        <v>F</v>
      </c>
      <c r="F983" s="189" t="str">
        <f ca="1">IFERROR(__xludf.DUMMYFUNCTION("""COMPUTED_VALUE"""),"J")</f>
        <v>J</v>
      </c>
      <c r="G983" s="189">
        <f ca="1">IFERROR(__xludf.DUMMYFUNCTION("""COMPUTED_VALUE"""),2)</f>
        <v>2</v>
      </c>
      <c r="H983" s="196" t="s">
        <v>288</v>
      </c>
      <c r="I983" s="196"/>
      <c r="J983" s="196" t="s">
        <v>29</v>
      </c>
      <c r="K983" s="196"/>
      <c r="L983" s="196" t="str">
        <v xml:space="preserve"> 32.25</v>
      </c>
      <c r="M983" s="196"/>
    </row>
    <row r="984" spans="1:13" ht="14.4" x14ac:dyDescent="0.3">
      <c r="A984" s="189" t="str">
        <f ca="1">IFERROR(__xludf.DUMMYFUNCTION("""COMPUTED_VALUE"""),"KG")</f>
        <v>KG</v>
      </c>
      <c r="B984" s="195" t="str">
        <f ca="1">IFERROR(__xludf.DUMMYFUNCTION("""COMPUTED_VALUE"""),"Kollins Badlam")</f>
        <v>Kollins Badlam</v>
      </c>
      <c r="C984" s="189">
        <f ca="1">IFERROR(__xludf.DUMMYFUNCTION("""COMPUTED_VALUE"""),7)</f>
        <v>7</v>
      </c>
      <c r="D984" s="189" t="str">
        <f ca="1">IFERROR(__xludf.DUMMYFUNCTION("""COMPUTED_VALUE"""),"G")</f>
        <v>G</v>
      </c>
      <c r="E984" s="189" t="str">
        <f ca="1">IFERROR(__xludf.DUMMYFUNCTION("""COMPUTED_VALUE"""),"F")</f>
        <v>F</v>
      </c>
      <c r="F984" s="189" t="str">
        <f ca="1">IFERROR(__xludf.DUMMYFUNCTION("""COMPUTED_VALUE"""),"J")</f>
        <v>J</v>
      </c>
      <c r="G984" s="189">
        <f ca="1">IFERROR(__xludf.DUMMYFUNCTION("""COMPUTED_VALUE"""),2)</f>
        <v>2</v>
      </c>
      <c r="H984" s="196"/>
      <c r="I984" s="196"/>
      <c r="J984" s="196"/>
      <c r="K984" s="196"/>
      <c r="L984" s="196" t="str">
        <v/>
      </c>
      <c r="M984" s="196"/>
    </row>
    <row r="985" spans="1:13" ht="14.4" x14ac:dyDescent="0.3">
      <c r="A985" s="189" t="str">
        <f ca="1">IFERROR(__xludf.DUMMYFUNCTION("""COMPUTED_VALUE"""),"KG")</f>
        <v>KG</v>
      </c>
      <c r="B985" s="195" t="str">
        <f ca="1">IFERROR(__xludf.DUMMYFUNCTION("""COMPUTED_VALUE"""),"Lilia Buonforte")</f>
        <v>Lilia Buonforte</v>
      </c>
      <c r="C985" s="189">
        <f ca="1">IFERROR(__xludf.DUMMYFUNCTION("""COMPUTED_VALUE"""),8)</f>
        <v>8</v>
      </c>
      <c r="D985" s="189" t="str">
        <f ca="1">IFERROR(__xludf.DUMMYFUNCTION("""COMPUTED_VALUE"""),"G")</f>
        <v>G</v>
      </c>
      <c r="E985" s="189" t="str">
        <f ca="1">IFERROR(__xludf.DUMMYFUNCTION("""COMPUTED_VALUE"""),"F")</f>
        <v>F</v>
      </c>
      <c r="F985" s="189" t="str">
        <f ca="1">IFERROR(__xludf.DUMMYFUNCTION("""COMPUTED_VALUE"""),"J")</f>
        <v>J</v>
      </c>
      <c r="G985" s="189">
        <f ca="1">IFERROR(__xludf.DUMMYFUNCTION("""COMPUTED_VALUE"""),2)</f>
        <v>2</v>
      </c>
      <c r="H985" s="196" t="s">
        <v>424</v>
      </c>
      <c r="I985" s="196"/>
      <c r="J985" s="196" t="s">
        <v>29</v>
      </c>
      <c r="K985" s="196"/>
      <c r="L985" s="196" t="str">
        <v xml:space="preserve"> 48.95</v>
      </c>
      <c r="M985" s="196"/>
    </row>
    <row r="986" spans="1:13" ht="14.4" x14ac:dyDescent="0.3">
      <c r="A986" s="189" t="str">
        <f ca="1">IFERROR(__xludf.DUMMYFUNCTION("""COMPUTED_VALUE"""),"KG")</f>
        <v>KG</v>
      </c>
      <c r="B986" s="195" t="str">
        <f ca="1">IFERROR(__xludf.DUMMYFUNCTION("""COMPUTED_VALUE"""),"Lina Kamenov")</f>
        <v>Lina Kamenov</v>
      </c>
      <c r="C986" s="189">
        <f ca="1">IFERROR(__xludf.DUMMYFUNCTION("""COMPUTED_VALUE"""),8)</f>
        <v>8</v>
      </c>
      <c r="D986" s="189" t="str">
        <f ca="1">IFERROR(__xludf.DUMMYFUNCTION("""COMPUTED_VALUE"""),"G")</f>
        <v>G</v>
      </c>
      <c r="E986" s="189" t="str">
        <f ca="1">IFERROR(__xludf.DUMMYFUNCTION("""COMPUTED_VALUE"""),"F")</f>
        <v>F</v>
      </c>
      <c r="F986" s="189" t="str">
        <f ca="1">IFERROR(__xludf.DUMMYFUNCTION("""COMPUTED_VALUE"""),"J")</f>
        <v>J</v>
      </c>
      <c r="G986" s="189">
        <f ca="1">IFERROR(__xludf.DUMMYFUNCTION("""COMPUTED_VALUE"""),2)</f>
        <v>2</v>
      </c>
      <c r="H986" s="196" t="s">
        <v>425</v>
      </c>
      <c r="I986" s="196"/>
      <c r="J986" s="196" t="s">
        <v>29</v>
      </c>
      <c r="K986" s="196"/>
      <c r="L986" s="196" t="str">
        <v xml:space="preserve"> 38.80</v>
      </c>
      <c r="M986" s="196"/>
    </row>
    <row r="987" spans="1:13" ht="14.4" x14ac:dyDescent="0.3">
      <c r="A987" s="189" t="str">
        <f ca="1">IFERROR(__xludf.DUMMYFUNCTION("""COMPUTED_VALUE"""),"KG")</f>
        <v>KG</v>
      </c>
      <c r="B987" s="195" t="str">
        <f ca="1">IFERROR(__xludf.DUMMYFUNCTION("""COMPUTED_VALUE"""),"Maggie Gulotta")</f>
        <v>Maggie Gulotta</v>
      </c>
      <c r="C987" s="189">
        <f ca="1">IFERROR(__xludf.DUMMYFUNCTION("""COMPUTED_VALUE"""),8)</f>
        <v>8</v>
      </c>
      <c r="D987" s="189" t="str">
        <f ca="1">IFERROR(__xludf.DUMMYFUNCTION("""COMPUTED_VALUE"""),"G")</f>
        <v>G</v>
      </c>
      <c r="E987" s="189" t="str">
        <f ca="1">IFERROR(__xludf.DUMMYFUNCTION("""COMPUTED_VALUE"""),"F")</f>
        <v>F</v>
      </c>
      <c r="F987" s="189" t="str">
        <f ca="1">IFERROR(__xludf.DUMMYFUNCTION("""COMPUTED_VALUE"""),"J")</f>
        <v>J</v>
      </c>
      <c r="G987" s="189">
        <f ca="1">IFERROR(__xludf.DUMMYFUNCTION("""COMPUTED_VALUE"""),2)</f>
        <v>2</v>
      </c>
      <c r="H987" s="196"/>
      <c r="I987" s="196"/>
      <c r="J987" s="196"/>
      <c r="K987" s="196"/>
      <c r="L987" s="196" t="str">
        <v/>
      </c>
      <c r="M987" s="196"/>
    </row>
    <row r="988" spans="1:13" ht="14.4" x14ac:dyDescent="0.3">
      <c r="A988" s="189" t="str">
        <f ca="1">IFERROR(__xludf.DUMMYFUNCTION("""COMPUTED_VALUE"""),"KG")</f>
        <v>KG</v>
      </c>
      <c r="B988" s="195" t="str">
        <f ca="1">IFERROR(__xludf.DUMMYFUNCTION("""COMPUTED_VALUE"""),"Martha Bryan")</f>
        <v>Martha Bryan</v>
      </c>
      <c r="C988" s="189">
        <f ca="1">IFERROR(__xludf.DUMMYFUNCTION("""COMPUTED_VALUE"""),10)</f>
        <v>10</v>
      </c>
      <c r="D988" s="189" t="str">
        <f ca="1">IFERROR(__xludf.DUMMYFUNCTION("""COMPUTED_VALUE"""),"G")</f>
        <v>G</v>
      </c>
      <c r="E988" s="189" t="str">
        <f ca="1">IFERROR(__xludf.DUMMYFUNCTION("""COMPUTED_VALUE"""),"F")</f>
        <v>F</v>
      </c>
      <c r="F988" s="189" t="str">
        <f ca="1">IFERROR(__xludf.DUMMYFUNCTION("""COMPUTED_VALUE"""),"J")</f>
        <v>J</v>
      </c>
      <c r="G988" s="189">
        <f ca="1">IFERROR(__xludf.DUMMYFUNCTION("""COMPUTED_VALUE"""),2)</f>
        <v>2</v>
      </c>
      <c r="H988" s="196"/>
      <c r="I988" s="196"/>
      <c r="J988" s="196"/>
      <c r="K988" s="196"/>
      <c r="L988" s="196" t="str">
        <v/>
      </c>
      <c r="M988" s="196"/>
    </row>
    <row r="989" spans="1:13" ht="14.4" x14ac:dyDescent="0.3">
      <c r="A989" s="189" t="str">
        <f ca="1">IFERROR(__xludf.DUMMYFUNCTION("""COMPUTED_VALUE"""),"KG")</f>
        <v>KG</v>
      </c>
      <c r="B989" s="195" t="str">
        <f ca="1">IFERROR(__xludf.DUMMYFUNCTION("""COMPUTED_VALUE"""),"Mei Leung")</f>
        <v>Mei Leung</v>
      </c>
      <c r="C989" s="189">
        <f ca="1">IFERROR(__xludf.DUMMYFUNCTION("""COMPUTED_VALUE"""),8)</f>
        <v>8</v>
      </c>
      <c r="D989" s="189" t="str">
        <f ca="1">IFERROR(__xludf.DUMMYFUNCTION("""COMPUTED_VALUE"""),"G")</f>
        <v>G</v>
      </c>
      <c r="E989" s="189" t="str">
        <f ca="1">IFERROR(__xludf.DUMMYFUNCTION("""COMPUTED_VALUE"""),"F")</f>
        <v>F</v>
      </c>
      <c r="F989" s="189" t="str">
        <f ca="1">IFERROR(__xludf.DUMMYFUNCTION("""COMPUTED_VALUE"""),"J")</f>
        <v>J</v>
      </c>
      <c r="G989" s="189">
        <f ca="1">IFERROR(__xludf.DUMMYFUNCTION("""COMPUTED_VALUE"""),2)</f>
        <v>2</v>
      </c>
      <c r="H989" s="196"/>
      <c r="I989" s="196"/>
      <c r="J989" s="196"/>
      <c r="K989" s="196"/>
      <c r="L989" s="196" t="str">
        <v/>
      </c>
      <c r="M989" s="196"/>
    </row>
    <row r="990" spans="1:13" ht="14.4" x14ac:dyDescent="0.3">
      <c r="A990" s="189" t="str">
        <f ca="1">IFERROR(__xludf.DUMMYFUNCTION("""COMPUTED_VALUE"""),"KG")</f>
        <v>KG</v>
      </c>
      <c r="B990" s="195" t="str">
        <f ca="1">IFERROR(__xludf.DUMMYFUNCTION("""COMPUTED_VALUE"""),"Norah Wittman")</f>
        <v>Norah Wittman</v>
      </c>
      <c r="C990" s="189">
        <f ca="1">IFERROR(__xludf.DUMMYFUNCTION("""COMPUTED_VALUE"""),10)</f>
        <v>10</v>
      </c>
      <c r="D990" s="189" t="str">
        <f ca="1">IFERROR(__xludf.DUMMYFUNCTION("""COMPUTED_VALUE"""),"G")</f>
        <v>G</v>
      </c>
      <c r="E990" s="189" t="str">
        <f ca="1">IFERROR(__xludf.DUMMYFUNCTION("""COMPUTED_VALUE"""),"F")</f>
        <v>F</v>
      </c>
      <c r="F990" s="189" t="str">
        <f ca="1">IFERROR(__xludf.DUMMYFUNCTION("""COMPUTED_VALUE"""),"J")</f>
        <v>J</v>
      </c>
      <c r="G990" s="189">
        <f ca="1">IFERROR(__xludf.DUMMYFUNCTION("""COMPUTED_VALUE"""),2)</f>
        <v>2</v>
      </c>
      <c r="H990" s="196" t="s">
        <v>426</v>
      </c>
      <c r="I990" s="196"/>
      <c r="J990" s="196" t="s">
        <v>29</v>
      </c>
      <c r="K990" s="196"/>
      <c r="L990" s="196" t="str">
        <v xml:space="preserve"> 65.00</v>
      </c>
      <c r="M990" s="196"/>
    </row>
    <row r="991" spans="1:13" ht="14.4" x14ac:dyDescent="0.3">
      <c r="A991" s="189" t="str">
        <f ca="1">IFERROR(__xludf.DUMMYFUNCTION("""COMPUTED_VALUE"""),"KG")</f>
        <v>KG</v>
      </c>
      <c r="B991" s="195" t="str">
        <f ca="1">IFERROR(__xludf.DUMMYFUNCTION("""COMPUTED_VALUE"""),"Sabina Khan")</f>
        <v>Sabina Khan</v>
      </c>
      <c r="C991" s="189">
        <f ca="1">IFERROR(__xludf.DUMMYFUNCTION("""COMPUTED_VALUE"""),9)</f>
        <v>9</v>
      </c>
      <c r="D991" s="189" t="str">
        <f ca="1">IFERROR(__xludf.DUMMYFUNCTION("""COMPUTED_VALUE"""),"G")</f>
        <v>G</v>
      </c>
      <c r="E991" s="189" t="str">
        <f ca="1">IFERROR(__xludf.DUMMYFUNCTION("""COMPUTED_VALUE"""),"F")</f>
        <v>F</v>
      </c>
      <c r="F991" s="189" t="str">
        <f ca="1">IFERROR(__xludf.DUMMYFUNCTION("""COMPUTED_VALUE"""),"J")</f>
        <v>J</v>
      </c>
      <c r="G991" s="189">
        <f ca="1">IFERROR(__xludf.DUMMYFUNCTION("""COMPUTED_VALUE"""),2)</f>
        <v>2</v>
      </c>
      <c r="H991" s="196"/>
      <c r="I991" s="196"/>
      <c r="J991" s="196"/>
      <c r="K991" s="196"/>
      <c r="L991" s="196" t="str">
        <v/>
      </c>
      <c r="M991" s="196"/>
    </row>
    <row r="992" spans="1:13" ht="14.4" x14ac:dyDescent="0.3">
      <c r="A992" s="189" t="str">
        <f ca="1">IFERROR(__xludf.DUMMYFUNCTION("""COMPUTED_VALUE"""),"KG")</f>
        <v>KG</v>
      </c>
      <c r="B992" s="195" t="str">
        <f ca="1">IFERROR(__xludf.DUMMYFUNCTION("""COMPUTED_VALUE"""),"Samantha Donnelly")</f>
        <v>Samantha Donnelly</v>
      </c>
      <c r="C992" s="189">
        <f ca="1">IFERROR(__xludf.DUMMYFUNCTION("""COMPUTED_VALUE"""),7)</f>
        <v>7</v>
      </c>
      <c r="D992" s="189" t="str">
        <f ca="1">IFERROR(__xludf.DUMMYFUNCTION("""COMPUTED_VALUE"""),"G")</f>
        <v>G</v>
      </c>
      <c r="E992" s="189" t="str">
        <f ca="1">IFERROR(__xludf.DUMMYFUNCTION("""COMPUTED_VALUE"""),"F")</f>
        <v>F</v>
      </c>
      <c r="F992" s="189" t="str">
        <f ca="1">IFERROR(__xludf.DUMMYFUNCTION("""COMPUTED_VALUE"""),"J")</f>
        <v>J</v>
      </c>
      <c r="G992" s="189">
        <f ca="1">IFERROR(__xludf.DUMMYFUNCTION("""COMPUTED_VALUE"""),2)</f>
        <v>2</v>
      </c>
      <c r="H992" s="196" t="s">
        <v>427</v>
      </c>
      <c r="I992" s="196"/>
      <c r="J992" s="196" t="s">
        <v>29</v>
      </c>
      <c r="K992" s="196"/>
      <c r="L992" s="196" t="str">
        <v xml:space="preserve"> 50.40</v>
      </c>
      <c r="M992" s="196"/>
    </row>
    <row r="993" spans="1:13" ht="14.4" x14ac:dyDescent="0.3">
      <c r="A993" s="189" t="str">
        <f ca="1">IFERROR(__xludf.DUMMYFUNCTION("""COMPUTED_VALUE"""),"KG")</f>
        <v>KG</v>
      </c>
      <c r="B993" s="195" t="str">
        <f ca="1">IFERROR(__xludf.DUMMYFUNCTION("""COMPUTED_VALUE"""),"Sutton Boyd")</f>
        <v>Sutton Boyd</v>
      </c>
      <c r="C993" s="189">
        <f ca="1">IFERROR(__xludf.DUMMYFUNCTION("""COMPUTED_VALUE"""),4)</f>
        <v>4</v>
      </c>
      <c r="D993" s="189" t="str">
        <f ca="1">IFERROR(__xludf.DUMMYFUNCTION("""COMPUTED_VALUE"""),"G")</f>
        <v>G</v>
      </c>
      <c r="E993" s="189" t="str">
        <f ca="1">IFERROR(__xludf.DUMMYFUNCTION("""COMPUTED_VALUE"""),"F")</f>
        <v>F</v>
      </c>
      <c r="F993" s="189" t="str">
        <f ca="1">IFERROR(__xludf.DUMMYFUNCTION("""COMPUTED_VALUE"""),"J")</f>
        <v>J</v>
      </c>
      <c r="G993" s="189">
        <f ca="1">IFERROR(__xludf.DUMMYFUNCTION("""COMPUTED_VALUE"""),2)</f>
        <v>2</v>
      </c>
      <c r="H993" s="196"/>
      <c r="I993" s="196"/>
      <c r="J993" s="196"/>
      <c r="K993" s="196"/>
      <c r="L993" s="196" t="str">
        <v/>
      </c>
      <c r="M993" s="196"/>
    </row>
    <row r="994" spans="1:13" ht="14.4" x14ac:dyDescent="0.3">
      <c r="A994" s="189" t="str">
        <f ca="1">IFERROR(__xludf.DUMMYFUNCTION("""COMPUTED_VALUE"""),"KG")</f>
        <v>KG</v>
      </c>
      <c r="B994" s="195" t="str">
        <f ca="1">IFERROR(__xludf.DUMMYFUNCTION("""COMPUTED_VALUE"""),"Alejandro Pereira")</f>
        <v>Alejandro Pereira</v>
      </c>
      <c r="C994" s="189">
        <f ca="1">IFERROR(__xludf.DUMMYFUNCTION("""COMPUTED_VALUE"""),10)</f>
        <v>10</v>
      </c>
      <c r="D994" s="189" t="str">
        <f ca="1">IFERROR(__xludf.DUMMYFUNCTION("""COMPUTED_VALUE"""),"B")</f>
        <v>B</v>
      </c>
      <c r="E994" s="189" t="str">
        <f ca="1">IFERROR(__xludf.DUMMYFUNCTION("""COMPUTED_VALUE"""),"F")</f>
        <v>F</v>
      </c>
      <c r="F994" s="189" t="str">
        <f ca="1">IFERROR(__xludf.DUMMYFUNCTION("""COMPUTED_VALUE"""),"J")</f>
        <v>J</v>
      </c>
      <c r="G994" s="189">
        <f ca="1">IFERROR(__xludf.DUMMYFUNCTION("""COMPUTED_VALUE"""),2)</f>
        <v>2</v>
      </c>
      <c r="H994" s="196" t="s">
        <v>428</v>
      </c>
      <c r="I994" s="196"/>
      <c r="J994" s="196" t="s">
        <v>29</v>
      </c>
      <c r="K994" s="196"/>
      <c r="L994" s="196" t="str">
        <v xml:space="preserve"> 53.40</v>
      </c>
      <c r="M994" s="196"/>
    </row>
    <row r="995" spans="1:13" ht="14.4" x14ac:dyDescent="0.3">
      <c r="A995" s="189" t="str">
        <f ca="1">IFERROR(__xludf.DUMMYFUNCTION("""COMPUTED_VALUE"""),"KG")</f>
        <v>KG</v>
      </c>
      <c r="B995" s="195" t="str">
        <f ca="1">IFERROR(__xludf.DUMMYFUNCTION("""COMPUTED_VALUE"""),"Ben Gulotta")</f>
        <v>Ben Gulotta</v>
      </c>
      <c r="C995" s="189">
        <f ca="1">IFERROR(__xludf.DUMMYFUNCTION("""COMPUTED_VALUE"""),8)</f>
        <v>8</v>
      </c>
      <c r="D995" s="189" t="str">
        <f ca="1">IFERROR(__xludf.DUMMYFUNCTION("""COMPUTED_VALUE"""),"B")</f>
        <v>B</v>
      </c>
      <c r="E995" s="189" t="str">
        <f ca="1">IFERROR(__xludf.DUMMYFUNCTION("""COMPUTED_VALUE"""),"F")</f>
        <v>F</v>
      </c>
      <c r="F995" s="189" t="str">
        <f ca="1">IFERROR(__xludf.DUMMYFUNCTION("""COMPUTED_VALUE"""),"J")</f>
        <v>J</v>
      </c>
      <c r="G995" s="189">
        <f ca="1">IFERROR(__xludf.DUMMYFUNCTION("""COMPUTED_VALUE"""),2)</f>
        <v>2</v>
      </c>
      <c r="H995" s="196"/>
      <c r="I995" s="196"/>
      <c r="J995" s="196"/>
      <c r="K995" s="196"/>
      <c r="L995" s="196" t="str">
        <v/>
      </c>
      <c r="M995" s="196"/>
    </row>
    <row r="996" spans="1:13" ht="14.4" x14ac:dyDescent="0.3">
      <c r="A996" s="189" t="str">
        <f ca="1">IFERROR(__xludf.DUMMYFUNCTION("""COMPUTED_VALUE"""),"KG")</f>
        <v>KG</v>
      </c>
      <c r="B996" s="195" t="str">
        <f ca="1">IFERROR(__xludf.DUMMYFUNCTION("""COMPUTED_VALUE"""),"James Wittman")</f>
        <v>James Wittman</v>
      </c>
      <c r="C996" s="189">
        <f ca="1">IFERROR(__xludf.DUMMYFUNCTION("""COMPUTED_VALUE"""),8)</f>
        <v>8</v>
      </c>
      <c r="D996" s="189" t="str">
        <f ca="1">IFERROR(__xludf.DUMMYFUNCTION("""COMPUTED_VALUE"""),"B")</f>
        <v>B</v>
      </c>
      <c r="E996" s="189" t="str">
        <f ca="1">IFERROR(__xludf.DUMMYFUNCTION("""COMPUTED_VALUE"""),"F")</f>
        <v>F</v>
      </c>
      <c r="F996" s="189" t="str">
        <f ca="1">IFERROR(__xludf.DUMMYFUNCTION("""COMPUTED_VALUE"""),"J")</f>
        <v>J</v>
      </c>
      <c r="G996" s="189">
        <f ca="1">IFERROR(__xludf.DUMMYFUNCTION("""COMPUTED_VALUE"""),2)</f>
        <v>2</v>
      </c>
      <c r="H996" s="196" t="s">
        <v>429</v>
      </c>
      <c r="I996" s="196"/>
      <c r="J996" s="196" t="s">
        <v>29</v>
      </c>
      <c r="K996" s="196"/>
      <c r="L996" s="196" t="str">
        <v xml:space="preserve"> 39.25</v>
      </c>
      <c r="M996" s="196"/>
    </row>
    <row r="997" spans="1:13" ht="14.4" x14ac:dyDescent="0.3">
      <c r="A997" s="189" t="str">
        <f ca="1">IFERROR(__xludf.DUMMYFUNCTION("""COMPUTED_VALUE"""),"KG")</f>
        <v>KG</v>
      </c>
      <c r="B997" s="195" t="str">
        <f ca="1">IFERROR(__xludf.DUMMYFUNCTION("""COMPUTED_VALUE"""),"Kasra Gongola")</f>
        <v>Kasra Gongola</v>
      </c>
      <c r="C997" s="189">
        <f ca="1">IFERROR(__xludf.DUMMYFUNCTION("""COMPUTED_VALUE"""),8)</f>
        <v>8</v>
      </c>
      <c r="D997" s="189" t="str">
        <f ca="1">IFERROR(__xludf.DUMMYFUNCTION("""COMPUTED_VALUE"""),"B")</f>
        <v>B</v>
      </c>
      <c r="E997" s="189" t="str">
        <f ca="1">IFERROR(__xludf.DUMMYFUNCTION("""COMPUTED_VALUE"""),"F")</f>
        <v>F</v>
      </c>
      <c r="F997" s="189" t="str">
        <f ca="1">IFERROR(__xludf.DUMMYFUNCTION("""COMPUTED_VALUE"""),"J")</f>
        <v>J</v>
      </c>
      <c r="G997" s="189">
        <f ca="1">IFERROR(__xludf.DUMMYFUNCTION("""COMPUTED_VALUE"""),2)</f>
        <v>2</v>
      </c>
      <c r="H997" s="196" t="s">
        <v>430</v>
      </c>
      <c r="I997" s="196"/>
      <c r="J997" s="196" t="s">
        <v>29</v>
      </c>
      <c r="K997" s="196"/>
      <c r="L997" s="196" t="str">
        <v xml:space="preserve"> 45.85</v>
      </c>
      <c r="M997" s="196"/>
    </row>
    <row r="998" spans="1:13" ht="14.4" x14ac:dyDescent="0.3">
      <c r="A998" s="189" t="str">
        <f ca="1">IFERROR(__xludf.DUMMYFUNCTION("""COMPUTED_VALUE"""),"KG")</f>
        <v>KG</v>
      </c>
      <c r="B998" s="195" t="str">
        <f ca="1">IFERROR(__xludf.DUMMYFUNCTION("""COMPUTED_VALUE"""),"Kilan Gongola")</f>
        <v>Kilan Gongola</v>
      </c>
      <c r="C998" s="189">
        <f ca="1">IFERROR(__xludf.DUMMYFUNCTION("""COMPUTED_VALUE"""),7)</f>
        <v>7</v>
      </c>
      <c r="D998" s="189" t="str">
        <f ca="1">IFERROR(__xludf.DUMMYFUNCTION("""COMPUTED_VALUE"""),"B")</f>
        <v>B</v>
      </c>
      <c r="E998" s="189" t="str">
        <f ca="1">IFERROR(__xludf.DUMMYFUNCTION("""COMPUTED_VALUE"""),"F")</f>
        <v>F</v>
      </c>
      <c r="F998" s="189" t="str">
        <f ca="1">IFERROR(__xludf.DUMMYFUNCTION("""COMPUTED_VALUE"""),"J")</f>
        <v>J</v>
      </c>
      <c r="G998" s="189">
        <f ca="1">IFERROR(__xludf.DUMMYFUNCTION("""COMPUTED_VALUE"""),2)</f>
        <v>2</v>
      </c>
      <c r="H998" s="196" t="s">
        <v>431</v>
      </c>
      <c r="I998" s="196"/>
      <c r="J998" s="196" t="s">
        <v>29</v>
      </c>
      <c r="K998" s="196"/>
      <c r="L998" s="196" t="str">
        <v xml:space="preserve"> 29.30</v>
      </c>
      <c r="M998" s="196"/>
    </row>
    <row r="999" spans="1:13" ht="14.4" x14ac:dyDescent="0.3">
      <c r="A999" s="189" t="str">
        <f ca="1">IFERROR(__xludf.DUMMYFUNCTION("""COMPUTED_VALUE"""),"KG")</f>
        <v>KG</v>
      </c>
      <c r="B999" s="195" t="str">
        <f ca="1">IFERROR(__xludf.DUMMYFUNCTION("""COMPUTED_VALUE"""),"Luca Bucci")</f>
        <v>Luca Bucci</v>
      </c>
      <c r="C999" s="189">
        <f ca="1">IFERROR(__xludf.DUMMYFUNCTION("""COMPUTED_VALUE"""),5)</f>
        <v>5</v>
      </c>
      <c r="D999" s="189" t="str">
        <f ca="1">IFERROR(__xludf.DUMMYFUNCTION("""COMPUTED_VALUE"""),"B")</f>
        <v>B</v>
      </c>
      <c r="E999" s="189" t="str">
        <f ca="1">IFERROR(__xludf.DUMMYFUNCTION("""COMPUTED_VALUE"""),"F")</f>
        <v>F</v>
      </c>
      <c r="F999" s="189" t="str">
        <f ca="1">IFERROR(__xludf.DUMMYFUNCTION("""COMPUTED_VALUE"""),"J")</f>
        <v>J</v>
      </c>
      <c r="G999" s="189">
        <f ca="1">IFERROR(__xludf.DUMMYFUNCTION("""COMPUTED_VALUE"""),2)</f>
        <v>2</v>
      </c>
      <c r="H999" s="196"/>
      <c r="I999" s="196"/>
      <c r="J999" s="196"/>
      <c r="K999" s="196"/>
      <c r="L999" s="196" t="str">
        <v/>
      </c>
      <c r="M999" s="196"/>
    </row>
    <row r="1000" spans="1:13" ht="14.4" x14ac:dyDescent="0.3">
      <c r="A1000" s="189" t="str">
        <f ca="1">IFERROR(__xludf.DUMMYFUNCTION("""COMPUTED_VALUE"""),"KG")</f>
        <v>KG</v>
      </c>
      <c r="B1000" s="195" t="str">
        <f ca="1">IFERROR(__xludf.DUMMYFUNCTION("""COMPUTED_VALUE"""),"Reed Schymanski")</f>
        <v>Reed Schymanski</v>
      </c>
      <c r="C1000" s="189">
        <f ca="1">IFERROR(__xludf.DUMMYFUNCTION("""COMPUTED_VALUE"""),9)</f>
        <v>9</v>
      </c>
      <c r="D1000" s="189" t="str">
        <f ca="1">IFERROR(__xludf.DUMMYFUNCTION("""COMPUTED_VALUE"""),"B")</f>
        <v>B</v>
      </c>
      <c r="E1000" s="189" t="str">
        <f ca="1">IFERROR(__xludf.DUMMYFUNCTION("""COMPUTED_VALUE"""),"F")</f>
        <v>F</v>
      </c>
      <c r="F1000" s="189" t="str">
        <f ca="1">IFERROR(__xludf.DUMMYFUNCTION("""COMPUTED_VALUE"""),"J")</f>
        <v>J</v>
      </c>
      <c r="G1000" s="189">
        <f ca="1">IFERROR(__xludf.DUMMYFUNCTION("""COMPUTED_VALUE"""),2)</f>
        <v>2</v>
      </c>
      <c r="H1000" s="196" t="s">
        <v>428</v>
      </c>
      <c r="I1000" s="196"/>
      <c r="J1000" s="196" t="s">
        <v>29</v>
      </c>
      <c r="K1000" s="196"/>
      <c r="L1000" s="196" t="str">
        <v xml:space="preserve"> 53.40</v>
      </c>
      <c r="M1000" s="196"/>
    </row>
    <row r="1001" spans="1:13" ht="14.4" x14ac:dyDescent="0.3">
      <c r="A1001" s="189" t="str">
        <f ca="1">IFERROR(__xludf.DUMMYFUNCTION("""COMPUTED_VALUE"""),"KG")</f>
        <v>KG</v>
      </c>
      <c r="B1001" s="195" t="str">
        <f ca="1">IFERROR(__xludf.DUMMYFUNCTION("""COMPUTED_VALUE"""),"Soren Gongola")</f>
        <v>Soren Gongola</v>
      </c>
      <c r="C1001" s="189">
        <f ca="1">IFERROR(__xludf.DUMMYFUNCTION("""COMPUTED_VALUE"""),5)</f>
        <v>5</v>
      </c>
      <c r="D1001" s="189" t="str">
        <f ca="1">IFERROR(__xludf.DUMMYFUNCTION("""COMPUTED_VALUE"""),"B")</f>
        <v>B</v>
      </c>
      <c r="E1001" s="189" t="str">
        <f ca="1">IFERROR(__xludf.DUMMYFUNCTION("""COMPUTED_VALUE"""),"F")</f>
        <v>F</v>
      </c>
      <c r="F1001" s="189" t="str">
        <f ca="1">IFERROR(__xludf.DUMMYFUNCTION("""COMPUTED_VALUE"""),"J")</f>
        <v>J</v>
      </c>
      <c r="G1001" s="189">
        <f ca="1">IFERROR(__xludf.DUMMYFUNCTION("""COMPUTED_VALUE"""),2)</f>
        <v>2</v>
      </c>
      <c r="H1001" s="196"/>
      <c r="I1001" s="196"/>
      <c r="J1001" s="196"/>
      <c r="K1001" s="196"/>
      <c r="L1001" s="196" t="str">
        <v/>
      </c>
      <c r="M1001" s="196"/>
    </row>
    <row r="1002" spans="1:13" ht="14.4" x14ac:dyDescent="0.3">
      <c r="A1002" s="189" t="str">
        <f ca="1">IFERROR(__xludf.DUMMYFUNCTION("""COMPUTED_VALUE"""),"KG")</f>
        <v>KG</v>
      </c>
      <c r="B1002" s="195" t="str">
        <f ca="1">IFERROR(__xludf.DUMMYFUNCTION("""COMPUTED_VALUE"""),"Wilkins Harvin")</f>
        <v>Wilkins Harvin</v>
      </c>
      <c r="C1002" s="189">
        <f ca="1">IFERROR(__xludf.DUMMYFUNCTION("""COMPUTED_VALUE"""),8)</f>
        <v>8</v>
      </c>
      <c r="D1002" s="189" t="str">
        <f ca="1">IFERROR(__xludf.DUMMYFUNCTION("""COMPUTED_VALUE"""),"B")</f>
        <v>B</v>
      </c>
      <c r="E1002" s="189" t="str">
        <f ca="1">IFERROR(__xludf.DUMMYFUNCTION("""COMPUTED_VALUE"""),"F")</f>
        <v>F</v>
      </c>
      <c r="F1002" s="189" t="str">
        <f ca="1">IFERROR(__xludf.DUMMYFUNCTION("""COMPUTED_VALUE"""),"J")</f>
        <v>J</v>
      </c>
      <c r="G1002" s="189">
        <f ca="1">IFERROR(__xludf.DUMMYFUNCTION("""COMPUTED_VALUE"""),2)</f>
        <v>2</v>
      </c>
      <c r="H1002" s="196"/>
      <c r="I1002" s="196"/>
      <c r="J1002" s="196"/>
      <c r="K1002" s="196"/>
      <c r="L1002" s="196" t="str">
        <v/>
      </c>
      <c r="M1002" s="196"/>
    </row>
    <row r="1003" spans="1:13" ht="14.4" x14ac:dyDescent="0.3">
      <c r="A1003" s="189" t="str">
        <f ca="1">IFERROR(__xludf.DUMMYFUNCTION("""COMPUTED_VALUE"""),"KG")</f>
        <v>KG</v>
      </c>
      <c r="B1003" s="195" t="str">
        <f ca="1">IFERROR(__xludf.DUMMYFUNCTION("""COMPUTED_VALUE"""),"Will Evett")</f>
        <v>Will Evett</v>
      </c>
      <c r="C1003" s="189">
        <f ca="1">IFERROR(__xludf.DUMMYFUNCTION("""COMPUTED_VALUE"""),7)</f>
        <v>7</v>
      </c>
      <c r="D1003" s="189" t="str">
        <f ca="1">IFERROR(__xludf.DUMMYFUNCTION("""COMPUTED_VALUE"""),"B")</f>
        <v>B</v>
      </c>
      <c r="E1003" s="189" t="str">
        <f ca="1">IFERROR(__xludf.DUMMYFUNCTION("""COMPUTED_VALUE"""),"F")</f>
        <v>F</v>
      </c>
      <c r="F1003" s="189" t="str">
        <f ca="1">IFERROR(__xludf.DUMMYFUNCTION("""COMPUTED_VALUE"""),"J")</f>
        <v>J</v>
      </c>
      <c r="G1003" s="189">
        <f ca="1">IFERROR(__xludf.DUMMYFUNCTION("""COMPUTED_VALUE"""),2)</f>
        <v>2</v>
      </c>
      <c r="H1003" s="196"/>
      <c r="I1003" s="196"/>
      <c r="J1003" s="196"/>
      <c r="K1003" s="196"/>
      <c r="L1003" s="196" t="str">
        <v/>
      </c>
      <c r="M1003" s="196"/>
    </row>
    <row r="1004" spans="1:13" ht="14.4" x14ac:dyDescent="0.3">
      <c r="A1004" s="189" t="str">
        <f ca="1">IFERROR(__xludf.DUMMYFUNCTION("""COMPUTED_VALUE"""),"KG")</f>
        <v>KG</v>
      </c>
      <c r="B1004" s="195" t="str">
        <f ca="1">IFERROR(__xludf.DUMMYFUNCTION("""COMPUTED_VALUE"""),"Iris Aiken")</f>
        <v>Iris Aiken</v>
      </c>
      <c r="C1004" s="189">
        <f ca="1">IFERROR(__xludf.DUMMYFUNCTION("""COMPUTED_VALUE"""),14)</f>
        <v>14</v>
      </c>
      <c r="D1004" s="189" t="str">
        <f ca="1">IFERROR(__xludf.DUMMYFUNCTION("""COMPUTED_VALUE"""),"G")</f>
        <v>G</v>
      </c>
      <c r="E1004" s="189" t="str">
        <f ca="1">IFERROR(__xludf.DUMMYFUNCTION("""COMPUTED_VALUE"""),"I")</f>
        <v>I</v>
      </c>
      <c r="F1004" s="189" t="str">
        <f ca="1">IFERROR(__xludf.DUMMYFUNCTION("""COMPUTED_VALUE"""),"S")</f>
        <v>S</v>
      </c>
      <c r="G1004" s="189">
        <f ca="1">IFERROR(__xludf.DUMMYFUNCTION("""COMPUTED_VALUE"""),2)</f>
        <v>2</v>
      </c>
      <c r="H1004" s="196"/>
      <c r="I1004" s="196"/>
      <c r="J1004" s="196"/>
      <c r="K1004" s="196"/>
      <c r="L1004" s="196" t="str">
        <v/>
      </c>
      <c r="M1004" s="196"/>
    </row>
    <row r="1005" spans="1:13" ht="14.4" x14ac:dyDescent="0.3">
      <c r="A1005" s="189" t="str">
        <f ca="1">IFERROR(__xludf.DUMMYFUNCTION("""COMPUTED_VALUE"""),"KG")</f>
        <v>KG</v>
      </c>
      <c r="B1005" s="195" t="str">
        <f ca="1">IFERROR(__xludf.DUMMYFUNCTION("""COMPUTED_VALUE"""),"Isabel Pereira")</f>
        <v>Isabel Pereira</v>
      </c>
      <c r="C1005" s="189">
        <f ca="1">IFERROR(__xludf.DUMMYFUNCTION("""COMPUTED_VALUE"""),14)</f>
        <v>14</v>
      </c>
      <c r="D1005" s="189" t="str">
        <f ca="1">IFERROR(__xludf.DUMMYFUNCTION("""COMPUTED_VALUE"""),"G")</f>
        <v>G</v>
      </c>
      <c r="E1005" s="189" t="str">
        <f ca="1">IFERROR(__xludf.DUMMYFUNCTION("""COMPUTED_VALUE"""),"I")</f>
        <v>I</v>
      </c>
      <c r="F1005" s="189" t="str">
        <f ca="1">IFERROR(__xludf.DUMMYFUNCTION("""COMPUTED_VALUE"""),"S")</f>
        <v>S</v>
      </c>
      <c r="G1005" s="189">
        <f ca="1">IFERROR(__xludf.DUMMYFUNCTION("""COMPUTED_VALUE"""),2)</f>
        <v>2</v>
      </c>
      <c r="H1005" s="196" t="s">
        <v>432</v>
      </c>
      <c r="I1005" s="196"/>
      <c r="J1005" s="196" t="s">
        <v>29</v>
      </c>
      <c r="K1005" s="196"/>
      <c r="L1005" s="196" t="str">
        <v xml:space="preserve"> 100.00</v>
      </c>
      <c r="M1005" s="196"/>
    </row>
    <row r="1006" spans="1:13" ht="14.4" x14ac:dyDescent="0.3">
      <c r="A1006" s="189" t="str">
        <f ca="1">IFERROR(__xludf.DUMMYFUNCTION("""COMPUTED_VALUE"""),"KG")</f>
        <v>KG</v>
      </c>
      <c r="B1006" s="195" t="str">
        <f ca="1">IFERROR(__xludf.DUMMYFUNCTION("""COMPUTED_VALUE"""),"Gavan Nasr")</f>
        <v>Gavan Nasr</v>
      </c>
      <c r="C1006" s="189">
        <f ca="1">IFERROR(__xludf.DUMMYFUNCTION("""COMPUTED_VALUE"""),13)</f>
        <v>13</v>
      </c>
      <c r="D1006" s="189" t="str">
        <f ca="1">IFERROR(__xludf.DUMMYFUNCTION("""COMPUTED_VALUE"""),"B")</f>
        <v>B</v>
      </c>
      <c r="E1006" s="189" t="str">
        <f ca="1">IFERROR(__xludf.DUMMYFUNCTION("""COMPUTED_VALUE"""),"I")</f>
        <v>I</v>
      </c>
      <c r="F1006" s="189" t="str">
        <f ca="1">IFERROR(__xludf.DUMMYFUNCTION("""COMPUTED_VALUE"""),"S")</f>
        <v>S</v>
      </c>
      <c r="G1006" s="189">
        <f ca="1">IFERROR(__xludf.DUMMYFUNCTION("""COMPUTED_VALUE"""),2)</f>
        <v>2</v>
      </c>
      <c r="H1006" s="196"/>
      <c r="I1006" s="196"/>
      <c r="J1006" s="196"/>
      <c r="K1006" s="196"/>
      <c r="L1006" s="196" t="str">
        <v/>
      </c>
      <c r="M1006" s="196"/>
    </row>
    <row r="1007" spans="1:13" ht="14.4" x14ac:dyDescent="0.3">
      <c r="A1007" s="189" t="str">
        <f ca="1">IFERROR(__xludf.DUMMYFUNCTION("""COMPUTED_VALUE"""),"KG")</f>
        <v>KG</v>
      </c>
      <c r="B1007" s="195" t="str">
        <f ca="1">IFERROR(__xludf.DUMMYFUNCTION("""COMPUTED_VALUE"""),"Henry Phoel")</f>
        <v>Henry Phoel</v>
      </c>
      <c r="C1007" s="189">
        <f ca="1">IFERROR(__xludf.DUMMYFUNCTION("""COMPUTED_VALUE"""),14)</f>
        <v>14</v>
      </c>
      <c r="D1007" s="189" t="str">
        <f ca="1">IFERROR(__xludf.DUMMYFUNCTION("""COMPUTED_VALUE"""),"B")</f>
        <v>B</v>
      </c>
      <c r="E1007" s="189" t="str">
        <f ca="1">IFERROR(__xludf.DUMMYFUNCTION("""COMPUTED_VALUE"""),"I")</f>
        <v>I</v>
      </c>
      <c r="F1007" s="189" t="str">
        <f ca="1">IFERROR(__xludf.DUMMYFUNCTION("""COMPUTED_VALUE"""),"S")</f>
        <v>S</v>
      </c>
      <c r="G1007" s="189">
        <f ca="1">IFERROR(__xludf.DUMMYFUNCTION("""COMPUTED_VALUE"""),2)</f>
        <v>2</v>
      </c>
      <c r="H1007" s="196"/>
      <c r="I1007" s="196"/>
      <c r="J1007" s="196"/>
      <c r="K1007" s="196"/>
      <c r="L1007" s="196" t="str">
        <v/>
      </c>
      <c r="M1007" s="196"/>
    </row>
    <row r="1008" spans="1:13" ht="14.4" x14ac:dyDescent="0.3">
      <c r="A1008" s="189" t="str">
        <f ca="1">IFERROR(__xludf.DUMMYFUNCTION("""COMPUTED_VALUE"""),"KG")</f>
        <v>KG</v>
      </c>
      <c r="B1008" s="195" t="str">
        <f ca="1">IFERROR(__xludf.DUMMYFUNCTION("""COMPUTED_VALUE"""),"Nathan Lucas")</f>
        <v>Nathan Lucas</v>
      </c>
      <c r="C1008" s="189">
        <f ca="1">IFERROR(__xludf.DUMMYFUNCTION("""COMPUTED_VALUE"""),13)</f>
        <v>13</v>
      </c>
      <c r="D1008" s="189" t="str">
        <f ca="1">IFERROR(__xludf.DUMMYFUNCTION("""COMPUTED_VALUE"""),"B")</f>
        <v>B</v>
      </c>
      <c r="E1008" s="189" t="str">
        <f ca="1">IFERROR(__xludf.DUMMYFUNCTION("""COMPUTED_VALUE"""),"I")</f>
        <v>I</v>
      </c>
      <c r="F1008" s="189" t="str">
        <f ca="1">IFERROR(__xludf.DUMMYFUNCTION("""COMPUTED_VALUE"""),"S")</f>
        <v>S</v>
      </c>
      <c r="G1008" s="189">
        <f ca="1">IFERROR(__xludf.DUMMYFUNCTION("""COMPUTED_VALUE"""),2)</f>
        <v>2</v>
      </c>
      <c r="H1008" s="196" t="s">
        <v>433</v>
      </c>
      <c r="I1008" s="196"/>
      <c r="J1008" s="196" t="s">
        <v>29</v>
      </c>
      <c r="K1008" s="196"/>
      <c r="L1008" s="196" t="str">
        <v xml:space="preserve"> 86.45</v>
      </c>
      <c r="M1008" s="196"/>
    </row>
    <row r="1009" spans="1:13" ht="14.4" x14ac:dyDescent="0.3">
      <c r="A1009" s="189" t="str">
        <f ca="1">IFERROR(__xludf.DUMMYFUNCTION("""COMPUTED_VALUE"""),"KG")</f>
        <v>KG</v>
      </c>
      <c r="B1009" s="195" t="str">
        <f ca="1">IFERROR(__xludf.DUMMYFUNCTION("""COMPUTED_VALUE"""),"Reagan Diaz")</f>
        <v>Reagan Diaz</v>
      </c>
      <c r="C1009" s="189">
        <f ca="1">IFERROR(__xludf.DUMMYFUNCTION("""COMPUTED_VALUE"""),13)</f>
        <v>13</v>
      </c>
      <c r="D1009" s="189" t="str">
        <f ca="1">IFERROR(__xludf.DUMMYFUNCTION("""COMPUTED_VALUE"""),"B")</f>
        <v>B</v>
      </c>
      <c r="E1009" s="189" t="str">
        <f ca="1">IFERROR(__xludf.DUMMYFUNCTION("""COMPUTED_VALUE"""),"I")</f>
        <v>I</v>
      </c>
      <c r="F1009" s="189" t="str">
        <f ca="1">IFERROR(__xludf.DUMMYFUNCTION("""COMPUTED_VALUE"""),"S")</f>
        <v>S</v>
      </c>
      <c r="G1009" s="189">
        <f ca="1">IFERROR(__xludf.DUMMYFUNCTION("""COMPUTED_VALUE"""),2)</f>
        <v>2</v>
      </c>
      <c r="H1009" s="196"/>
      <c r="I1009" s="196"/>
      <c r="J1009" s="196"/>
      <c r="K1009" s="196"/>
      <c r="L1009" s="196" t="str">
        <v/>
      </c>
      <c r="M1009" s="196"/>
    </row>
    <row r="1010" spans="1:13" ht="14.4" x14ac:dyDescent="0.3">
      <c r="A1010" s="189" t="str">
        <f ca="1">IFERROR(__xludf.DUMMYFUNCTION("""COMPUTED_VALUE"""),"KG")</f>
        <v>KG</v>
      </c>
      <c r="B1010" s="195" t="str">
        <f ca="1">IFERROR(__xludf.DUMMYFUNCTION("""COMPUTED_VALUE"""),"Anaya Bose")</f>
        <v>Anaya Bose</v>
      </c>
      <c r="C1010" s="189">
        <f ca="1">IFERROR(__xludf.DUMMYFUNCTION("""COMPUTED_VALUE"""),11)</f>
        <v>11</v>
      </c>
      <c r="D1010" s="189" t="str">
        <f ca="1">IFERROR(__xludf.DUMMYFUNCTION("""COMPUTED_VALUE"""),"G")</f>
        <v>G</v>
      </c>
      <c r="E1010" s="189" t="str">
        <f ca="1">IFERROR(__xludf.DUMMYFUNCTION("""COMPUTED_VALUE"""),"J")</f>
        <v>J</v>
      </c>
      <c r="F1010" s="189" t="str">
        <f ca="1">IFERROR(__xludf.DUMMYFUNCTION("""COMPUTED_VALUE"""),"I")</f>
        <v>I</v>
      </c>
      <c r="G1010" s="189">
        <f ca="1">IFERROR(__xludf.DUMMYFUNCTION("""COMPUTED_VALUE"""),2)</f>
        <v>2</v>
      </c>
      <c r="H1010" s="196"/>
      <c r="I1010" s="196"/>
      <c r="J1010" s="196"/>
      <c r="K1010" s="196"/>
      <c r="L1010" s="196" t="str">
        <v/>
      </c>
      <c r="M1010" s="196"/>
    </row>
    <row r="1011" spans="1:13" ht="14.4" x14ac:dyDescent="0.3">
      <c r="A1011" s="189" t="str">
        <f ca="1">IFERROR(__xludf.DUMMYFUNCTION("""COMPUTED_VALUE"""),"KG")</f>
        <v>KG</v>
      </c>
      <c r="B1011" s="195" t="str">
        <f ca="1">IFERROR(__xludf.DUMMYFUNCTION("""COMPUTED_VALUE"""),"Caroline Van Order")</f>
        <v>Caroline Van Order</v>
      </c>
      <c r="C1011" s="189">
        <f ca="1">IFERROR(__xludf.DUMMYFUNCTION("""COMPUTED_VALUE"""),11)</f>
        <v>11</v>
      </c>
      <c r="D1011" s="189" t="str">
        <f ca="1">IFERROR(__xludf.DUMMYFUNCTION("""COMPUTED_VALUE"""),"G")</f>
        <v>G</v>
      </c>
      <c r="E1011" s="189" t="str">
        <f ca="1">IFERROR(__xludf.DUMMYFUNCTION("""COMPUTED_VALUE"""),"J")</f>
        <v>J</v>
      </c>
      <c r="F1011" s="189" t="str">
        <f ca="1">IFERROR(__xludf.DUMMYFUNCTION("""COMPUTED_VALUE"""),"I")</f>
        <v>I</v>
      </c>
      <c r="G1011" s="189">
        <f ca="1">IFERROR(__xludf.DUMMYFUNCTION("""COMPUTED_VALUE"""),2)</f>
        <v>2</v>
      </c>
      <c r="H1011" s="196" t="s">
        <v>434</v>
      </c>
      <c r="I1011" s="196"/>
      <c r="J1011" s="196" t="s">
        <v>64</v>
      </c>
      <c r="K1011" s="196"/>
      <c r="L1011" s="196" t="str">
        <v xml:space="preserve"> -97.20</v>
      </c>
      <c r="M1011" s="196"/>
    </row>
    <row r="1012" spans="1:13" ht="14.4" x14ac:dyDescent="0.3">
      <c r="A1012" s="189" t="str">
        <f ca="1">IFERROR(__xludf.DUMMYFUNCTION("""COMPUTED_VALUE"""),"KG")</f>
        <v>KG</v>
      </c>
      <c r="B1012" s="195" t="str">
        <f ca="1">IFERROR(__xludf.DUMMYFUNCTION("""COMPUTED_VALUE"""),"Julia Denniston")</f>
        <v>Julia Denniston</v>
      </c>
      <c r="C1012" s="189">
        <f ca="1">IFERROR(__xludf.DUMMYFUNCTION("""COMPUTED_VALUE"""),11)</f>
        <v>11</v>
      </c>
      <c r="D1012" s="189" t="str">
        <f ca="1">IFERROR(__xludf.DUMMYFUNCTION("""COMPUTED_VALUE"""),"G")</f>
        <v>G</v>
      </c>
      <c r="E1012" s="189" t="str">
        <f ca="1">IFERROR(__xludf.DUMMYFUNCTION("""COMPUTED_VALUE"""),"J")</f>
        <v>J</v>
      </c>
      <c r="F1012" s="189" t="str">
        <f ca="1">IFERROR(__xludf.DUMMYFUNCTION("""COMPUTED_VALUE"""),"I")</f>
        <v>I</v>
      </c>
      <c r="G1012" s="189">
        <f ca="1">IFERROR(__xludf.DUMMYFUNCTION("""COMPUTED_VALUE"""),2)</f>
        <v>2</v>
      </c>
      <c r="H1012" s="196" t="s">
        <v>435</v>
      </c>
      <c r="I1012" s="196"/>
      <c r="J1012" s="196" t="s">
        <v>29</v>
      </c>
      <c r="K1012" s="196"/>
      <c r="L1012" s="196" t="str">
        <v xml:space="preserve"> 97.40</v>
      </c>
      <c r="M1012" s="196"/>
    </row>
    <row r="1013" spans="1:13" ht="14.4" x14ac:dyDescent="0.3">
      <c r="A1013" s="189" t="str">
        <f ca="1">IFERROR(__xludf.DUMMYFUNCTION("""COMPUTED_VALUE"""),"KG")</f>
        <v>KG</v>
      </c>
      <c r="B1013" s="195" t="str">
        <f ca="1">IFERROR(__xludf.DUMMYFUNCTION("""COMPUTED_VALUE"""),"Kira Bhasin")</f>
        <v>Kira Bhasin</v>
      </c>
      <c r="C1013" s="189">
        <f ca="1">IFERROR(__xludf.DUMMYFUNCTION("""COMPUTED_VALUE"""),11)</f>
        <v>11</v>
      </c>
      <c r="D1013" s="189" t="str">
        <f ca="1">IFERROR(__xludf.DUMMYFUNCTION("""COMPUTED_VALUE"""),"G")</f>
        <v>G</v>
      </c>
      <c r="E1013" s="189" t="str">
        <f ca="1">IFERROR(__xludf.DUMMYFUNCTION("""COMPUTED_VALUE"""),"J")</f>
        <v>J</v>
      </c>
      <c r="F1013" s="189" t="str">
        <f ca="1">IFERROR(__xludf.DUMMYFUNCTION("""COMPUTED_VALUE"""),"I")</f>
        <v>I</v>
      </c>
      <c r="G1013" s="189">
        <f ca="1">IFERROR(__xludf.DUMMYFUNCTION("""COMPUTED_VALUE"""),2)</f>
        <v>2</v>
      </c>
      <c r="H1013" s="196" t="s">
        <v>436</v>
      </c>
      <c r="I1013" s="196"/>
      <c r="J1013" s="196" t="s">
        <v>29</v>
      </c>
      <c r="K1013" s="196"/>
      <c r="L1013" s="196" t="str">
        <v xml:space="preserve"> 69.60</v>
      </c>
      <c r="M1013" s="196"/>
    </row>
    <row r="1014" spans="1:13" ht="14.4" x14ac:dyDescent="0.3">
      <c r="A1014" s="189" t="str">
        <f ca="1">IFERROR(__xludf.DUMMYFUNCTION("""COMPUTED_VALUE"""),"KG")</f>
        <v>KG</v>
      </c>
      <c r="B1014" s="195" t="str">
        <f ca="1">IFERROR(__xludf.DUMMYFUNCTION("""COMPUTED_VALUE"""),"Libby Gulotta")</f>
        <v>Libby Gulotta</v>
      </c>
      <c r="C1014" s="189">
        <f ca="1">IFERROR(__xludf.DUMMYFUNCTION("""COMPUTED_VALUE"""),11)</f>
        <v>11</v>
      </c>
      <c r="D1014" s="189" t="str">
        <f ca="1">IFERROR(__xludf.DUMMYFUNCTION("""COMPUTED_VALUE"""),"G")</f>
        <v>G</v>
      </c>
      <c r="E1014" s="189" t="str">
        <f ca="1">IFERROR(__xludf.DUMMYFUNCTION("""COMPUTED_VALUE"""),"J")</f>
        <v>J</v>
      </c>
      <c r="F1014" s="189" t="str">
        <f ca="1">IFERROR(__xludf.DUMMYFUNCTION("""COMPUTED_VALUE"""),"I")</f>
        <v>I</v>
      </c>
      <c r="G1014" s="189">
        <f ca="1">IFERROR(__xludf.DUMMYFUNCTION("""COMPUTED_VALUE"""),2)</f>
        <v>2</v>
      </c>
      <c r="H1014" s="196"/>
      <c r="I1014" s="196"/>
      <c r="J1014" s="196"/>
      <c r="K1014" s="196"/>
      <c r="L1014" s="196" t="str">
        <v/>
      </c>
      <c r="M1014" s="196"/>
    </row>
    <row r="1015" spans="1:13" ht="14.4" x14ac:dyDescent="0.3">
      <c r="A1015" s="189" t="str">
        <f ca="1">IFERROR(__xludf.DUMMYFUNCTION("""COMPUTED_VALUE"""),"KG")</f>
        <v>KG</v>
      </c>
      <c r="B1015" s="195" t="str">
        <f ca="1">IFERROR(__xludf.DUMMYFUNCTION("""COMPUTED_VALUE"""),"Lindsay Li")</f>
        <v>Lindsay Li</v>
      </c>
      <c r="C1015" s="189">
        <f ca="1">IFERROR(__xludf.DUMMYFUNCTION("""COMPUTED_VALUE"""),11)</f>
        <v>11</v>
      </c>
      <c r="D1015" s="189" t="str">
        <f ca="1">IFERROR(__xludf.DUMMYFUNCTION("""COMPUTED_VALUE"""),"G")</f>
        <v>G</v>
      </c>
      <c r="E1015" s="189" t="str">
        <f ca="1">IFERROR(__xludf.DUMMYFUNCTION("""COMPUTED_VALUE"""),"J")</f>
        <v>J</v>
      </c>
      <c r="F1015" s="189" t="str">
        <f ca="1">IFERROR(__xludf.DUMMYFUNCTION("""COMPUTED_VALUE"""),"I")</f>
        <v>I</v>
      </c>
      <c r="G1015" s="189">
        <f ca="1">IFERROR(__xludf.DUMMYFUNCTION("""COMPUTED_VALUE"""),2)</f>
        <v>2</v>
      </c>
      <c r="H1015" s="196"/>
      <c r="I1015" s="196"/>
      <c r="J1015" s="196"/>
      <c r="K1015" s="196"/>
      <c r="L1015" s="196" t="str">
        <v/>
      </c>
      <c r="M1015" s="196"/>
    </row>
    <row r="1016" spans="1:13" ht="14.4" x14ac:dyDescent="0.3">
      <c r="A1016" s="189" t="str">
        <f ca="1">IFERROR(__xludf.DUMMYFUNCTION("""COMPUTED_VALUE"""),"KG")</f>
        <v>KG</v>
      </c>
      <c r="B1016" s="195" t="str">
        <f ca="1">IFERROR(__xludf.DUMMYFUNCTION("""COMPUTED_VALUE"""),"Matilda Balzer")</f>
        <v>Matilda Balzer</v>
      </c>
      <c r="C1016" s="189">
        <f ca="1">IFERROR(__xludf.DUMMYFUNCTION("""COMPUTED_VALUE"""),12)</f>
        <v>12</v>
      </c>
      <c r="D1016" s="189" t="str">
        <f ca="1">IFERROR(__xludf.DUMMYFUNCTION("""COMPUTED_VALUE"""),"G")</f>
        <v>G</v>
      </c>
      <c r="E1016" s="189" t="str">
        <f ca="1">IFERROR(__xludf.DUMMYFUNCTION("""COMPUTED_VALUE"""),"J")</f>
        <v>J</v>
      </c>
      <c r="F1016" s="189" t="str">
        <f ca="1">IFERROR(__xludf.DUMMYFUNCTION("""COMPUTED_VALUE"""),"I")</f>
        <v>I</v>
      </c>
      <c r="G1016" s="189">
        <f ca="1">IFERROR(__xludf.DUMMYFUNCTION("""COMPUTED_VALUE"""),2)</f>
        <v>2</v>
      </c>
      <c r="H1016" s="196"/>
      <c r="I1016" s="196"/>
      <c r="J1016" s="196"/>
      <c r="K1016" s="196"/>
      <c r="L1016" s="196" t="str">
        <v/>
      </c>
      <c r="M1016" s="196"/>
    </row>
    <row r="1017" spans="1:13" ht="14.4" x14ac:dyDescent="0.3">
      <c r="A1017" s="189" t="str">
        <f ca="1">IFERROR(__xludf.DUMMYFUNCTION("""COMPUTED_VALUE"""),"KG")</f>
        <v>KG</v>
      </c>
      <c r="B1017" s="195" t="str">
        <f ca="1">IFERROR(__xludf.DUMMYFUNCTION("""COMPUTED_VALUE"""),"Milla Schymanski")</f>
        <v>Milla Schymanski</v>
      </c>
      <c r="C1017" s="189">
        <f ca="1">IFERROR(__xludf.DUMMYFUNCTION("""COMPUTED_VALUE"""),11)</f>
        <v>11</v>
      </c>
      <c r="D1017" s="189" t="str">
        <f ca="1">IFERROR(__xludf.DUMMYFUNCTION("""COMPUTED_VALUE"""),"G")</f>
        <v>G</v>
      </c>
      <c r="E1017" s="189" t="str">
        <f ca="1">IFERROR(__xludf.DUMMYFUNCTION("""COMPUTED_VALUE"""),"J")</f>
        <v>J</v>
      </c>
      <c r="F1017" s="189" t="str">
        <f ca="1">IFERROR(__xludf.DUMMYFUNCTION("""COMPUTED_VALUE"""),"I")</f>
        <v>I</v>
      </c>
      <c r="G1017" s="189">
        <f ca="1">IFERROR(__xludf.DUMMYFUNCTION("""COMPUTED_VALUE"""),2)</f>
        <v>2</v>
      </c>
      <c r="H1017" s="196" t="s">
        <v>437</v>
      </c>
      <c r="I1017" s="196"/>
      <c r="J1017" s="196" t="s">
        <v>29</v>
      </c>
      <c r="K1017" s="196"/>
      <c r="L1017" s="196" t="str">
        <v xml:space="preserve"> 85.45</v>
      </c>
      <c r="M1017" s="196"/>
    </row>
    <row r="1018" spans="1:13" ht="14.4" x14ac:dyDescent="0.3">
      <c r="A1018" s="189" t="str">
        <f ca="1">IFERROR(__xludf.DUMMYFUNCTION("""COMPUTED_VALUE"""),"KG")</f>
        <v>KG</v>
      </c>
      <c r="B1018" s="195" t="str">
        <f ca="1">IFERROR(__xludf.DUMMYFUNCTION("""COMPUTED_VALUE"""),"Harrison Gulotta")</f>
        <v>Harrison Gulotta</v>
      </c>
      <c r="C1018" s="189">
        <f ca="1">IFERROR(__xludf.DUMMYFUNCTION("""COMPUTED_VALUE"""),12)</f>
        <v>12</v>
      </c>
      <c r="D1018" s="189" t="str">
        <f ca="1">IFERROR(__xludf.DUMMYFUNCTION("""COMPUTED_VALUE"""),"B")</f>
        <v>B</v>
      </c>
      <c r="E1018" s="189" t="str">
        <f ca="1">IFERROR(__xludf.DUMMYFUNCTION("""COMPUTED_VALUE"""),"J")</f>
        <v>J</v>
      </c>
      <c r="F1018" s="189" t="str">
        <f ca="1">IFERROR(__xludf.DUMMYFUNCTION("""COMPUTED_VALUE"""),"I")</f>
        <v>I</v>
      </c>
      <c r="G1018" s="189">
        <f ca="1">IFERROR(__xludf.DUMMYFUNCTION("""COMPUTED_VALUE"""),2)</f>
        <v>2</v>
      </c>
      <c r="H1018" s="196"/>
      <c r="I1018" s="196"/>
      <c r="J1018" s="196"/>
      <c r="K1018" s="196"/>
      <c r="L1018" s="196" t="str">
        <v/>
      </c>
      <c r="M1018" s="196"/>
    </row>
    <row r="1019" spans="1:13" ht="14.4" x14ac:dyDescent="0.3">
      <c r="A1019" s="189" t="str">
        <f ca="1">IFERROR(__xludf.DUMMYFUNCTION("""COMPUTED_VALUE"""),"KG")</f>
        <v>KG</v>
      </c>
      <c r="B1019" s="195" t="str">
        <f ca="1">IFERROR(__xludf.DUMMYFUNCTION("""COMPUTED_VALUE"""),"Lucas Moreno")</f>
        <v>Lucas Moreno</v>
      </c>
      <c r="C1019" s="189">
        <f ca="1">IFERROR(__xludf.DUMMYFUNCTION("""COMPUTED_VALUE"""),12)</f>
        <v>12</v>
      </c>
      <c r="D1019" s="189" t="str">
        <f ca="1">IFERROR(__xludf.DUMMYFUNCTION("""COMPUTED_VALUE"""),"B")</f>
        <v>B</v>
      </c>
      <c r="E1019" s="189" t="str">
        <f ca="1">IFERROR(__xludf.DUMMYFUNCTION("""COMPUTED_VALUE"""),"J")</f>
        <v>J</v>
      </c>
      <c r="F1019" s="189" t="str">
        <f ca="1">IFERROR(__xludf.DUMMYFUNCTION("""COMPUTED_VALUE"""),"I")</f>
        <v>I</v>
      </c>
      <c r="G1019" s="189">
        <f ca="1">IFERROR(__xludf.DUMMYFUNCTION("""COMPUTED_VALUE"""),2)</f>
        <v>2</v>
      </c>
      <c r="H1019" s="196" t="s">
        <v>438</v>
      </c>
      <c r="I1019" s="196"/>
      <c r="J1019" s="196" t="s">
        <v>29</v>
      </c>
      <c r="K1019" s="196"/>
      <c r="L1019" s="196" t="str">
        <v xml:space="preserve"> 90.35</v>
      </c>
      <c r="M1019" s="196"/>
    </row>
    <row r="1020" spans="1:13" ht="14.4" x14ac:dyDescent="0.3">
      <c r="A1020" s="189" t="str">
        <f ca="1">IFERROR(__xludf.DUMMYFUNCTION("""COMPUTED_VALUE"""),"KG")</f>
        <v>KG</v>
      </c>
      <c r="B1020" s="195" t="str">
        <f ca="1">IFERROR(__xludf.DUMMYFUNCTION("""COMPUTED_VALUE"""),"Luke Joyner")</f>
        <v>Luke Joyner</v>
      </c>
      <c r="C1020" s="189">
        <f ca="1">IFERROR(__xludf.DUMMYFUNCTION("""COMPUTED_VALUE"""),11)</f>
        <v>11</v>
      </c>
      <c r="D1020" s="189" t="str">
        <f ca="1">IFERROR(__xludf.DUMMYFUNCTION("""COMPUTED_VALUE"""),"B")</f>
        <v>B</v>
      </c>
      <c r="E1020" s="189" t="str">
        <f ca="1">IFERROR(__xludf.DUMMYFUNCTION("""COMPUTED_VALUE"""),"J")</f>
        <v>J</v>
      </c>
      <c r="F1020" s="189" t="str">
        <f ca="1">IFERROR(__xludf.DUMMYFUNCTION("""COMPUTED_VALUE"""),"I")</f>
        <v>I</v>
      </c>
      <c r="G1020" s="189">
        <f ca="1">IFERROR(__xludf.DUMMYFUNCTION("""COMPUTED_VALUE"""),2)</f>
        <v>2</v>
      </c>
      <c r="H1020" s="196"/>
      <c r="I1020" s="196"/>
      <c r="J1020" s="196"/>
      <c r="K1020" s="196"/>
      <c r="L1020" s="196" t="str">
        <v/>
      </c>
      <c r="M1020" s="196"/>
    </row>
    <row r="1021" spans="1:13" ht="14.4" x14ac:dyDescent="0.3">
      <c r="A1021" s="189" t="str">
        <f ca="1">IFERROR(__xludf.DUMMYFUNCTION("""COMPUTED_VALUE"""),"KG")</f>
        <v>KG</v>
      </c>
      <c r="B1021" s="195" t="str">
        <f ca="1">IFERROR(__xludf.DUMMYFUNCTION("""COMPUTED_VALUE"""),"Marcus Bryan")</f>
        <v>Marcus Bryan</v>
      </c>
      <c r="C1021" s="189">
        <f ca="1">IFERROR(__xludf.DUMMYFUNCTION("""COMPUTED_VALUE"""),12)</f>
        <v>12</v>
      </c>
      <c r="D1021" s="189" t="str">
        <f ca="1">IFERROR(__xludf.DUMMYFUNCTION("""COMPUTED_VALUE"""),"B")</f>
        <v>B</v>
      </c>
      <c r="E1021" s="189" t="str">
        <f ca="1">IFERROR(__xludf.DUMMYFUNCTION("""COMPUTED_VALUE"""),"J")</f>
        <v>J</v>
      </c>
      <c r="F1021" s="189" t="str">
        <f ca="1">IFERROR(__xludf.DUMMYFUNCTION("""COMPUTED_VALUE"""),"I")</f>
        <v>I</v>
      </c>
      <c r="G1021" s="189">
        <f ca="1">IFERROR(__xludf.DUMMYFUNCTION("""COMPUTED_VALUE"""),2)</f>
        <v>2</v>
      </c>
      <c r="H1021" s="196"/>
      <c r="I1021" s="196"/>
      <c r="J1021" s="196"/>
      <c r="K1021" s="196"/>
      <c r="L1021" s="196" t="str">
        <v/>
      </c>
      <c r="M1021" s="196"/>
    </row>
    <row r="1022" spans="1:13" ht="14.4" x14ac:dyDescent="0.3">
      <c r="A1022" s="189" t="str">
        <f ca="1">IFERROR(__xludf.DUMMYFUNCTION("""COMPUTED_VALUE"""),"KG")</f>
        <v>KG</v>
      </c>
      <c r="B1022" s="195" t="str">
        <f ca="1">IFERROR(__xludf.DUMMYFUNCTION("""COMPUTED_VALUE"""),"Cate Lawler")</f>
        <v>Cate Lawler</v>
      </c>
      <c r="C1022" s="189">
        <f ca="1">IFERROR(__xludf.DUMMYFUNCTION("""COMPUTED_VALUE"""),15)</f>
        <v>15</v>
      </c>
      <c r="D1022" s="189" t="str">
        <f ca="1">IFERROR(__xludf.DUMMYFUNCTION("""COMPUTED_VALUE"""),"G")</f>
        <v>G</v>
      </c>
      <c r="E1022" s="189" t="str">
        <f ca="1">IFERROR(__xludf.DUMMYFUNCTION("""COMPUTED_VALUE"""),"S")</f>
        <v>S</v>
      </c>
      <c r="F1022" s="189" t="str">
        <f ca="1">IFERROR(__xludf.DUMMYFUNCTION("""COMPUTED_VALUE"""),"S")</f>
        <v>S</v>
      </c>
      <c r="G1022" s="189">
        <f ca="1">IFERROR(__xludf.DUMMYFUNCTION("""COMPUTED_VALUE"""),2)</f>
        <v>2</v>
      </c>
      <c r="H1022" s="196" t="s">
        <v>439</v>
      </c>
      <c r="I1022" s="196"/>
      <c r="J1022" s="196" t="s">
        <v>29</v>
      </c>
      <c r="K1022" s="196"/>
      <c r="L1022" s="196" t="str">
        <v xml:space="preserve"> 196.00</v>
      </c>
      <c r="M1022" s="196"/>
    </row>
    <row r="1023" spans="1:13" ht="14.4" x14ac:dyDescent="0.3">
      <c r="A1023" s="189" t="str">
        <f ca="1">IFERROR(__xludf.DUMMYFUNCTION("""COMPUTED_VALUE"""),"KG")</f>
        <v>KG</v>
      </c>
      <c r="B1023" s="195" t="str">
        <f ca="1">IFERROR(__xludf.DUMMYFUNCTION("""COMPUTED_VALUE"""),"Catherine Ayers")</f>
        <v>Catherine Ayers</v>
      </c>
      <c r="C1023" s="189">
        <f ca="1">IFERROR(__xludf.DUMMYFUNCTION("""COMPUTED_VALUE"""),15)</f>
        <v>15</v>
      </c>
      <c r="D1023" s="189" t="str">
        <f ca="1">IFERROR(__xludf.DUMMYFUNCTION("""COMPUTED_VALUE"""),"G")</f>
        <v>G</v>
      </c>
      <c r="E1023" s="189" t="str">
        <f ca="1">IFERROR(__xludf.DUMMYFUNCTION("""COMPUTED_VALUE"""),"S")</f>
        <v>S</v>
      </c>
      <c r="F1023" s="189" t="str">
        <f ca="1">IFERROR(__xludf.DUMMYFUNCTION("""COMPUTED_VALUE"""),"S")</f>
        <v>S</v>
      </c>
      <c r="G1023" s="189">
        <f ca="1">IFERROR(__xludf.DUMMYFUNCTION("""COMPUTED_VALUE"""),2)</f>
        <v>2</v>
      </c>
      <c r="H1023" s="196"/>
      <c r="I1023" s="196"/>
      <c r="J1023" s="196"/>
      <c r="K1023" s="196"/>
      <c r="L1023" s="196" t="str">
        <v/>
      </c>
      <c r="M1023" s="196"/>
    </row>
    <row r="1024" spans="1:13" ht="14.4" x14ac:dyDescent="0.3">
      <c r="A1024" s="189" t="str">
        <f ca="1">IFERROR(__xludf.DUMMYFUNCTION("""COMPUTED_VALUE"""),"KG")</f>
        <v>KG</v>
      </c>
      <c r="B1024" s="195" t="str">
        <f ca="1">IFERROR(__xludf.DUMMYFUNCTION("""COMPUTED_VALUE"""),"Francesca Pereira")</f>
        <v>Francesca Pereira</v>
      </c>
      <c r="C1024" s="189">
        <f ca="1">IFERROR(__xludf.DUMMYFUNCTION("""COMPUTED_VALUE"""),16)</f>
        <v>16</v>
      </c>
      <c r="D1024" s="189" t="str">
        <f ca="1">IFERROR(__xludf.DUMMYFUNCTION("""COMPUTED_VALUE"""),"G")</f>
        <v>G</v>
      </c>
      <c r="E1024" s="189" t="str">
        <f ca="1">IFERROR(__xludf.DUMMYFUNCTION("""COMPUTED_VALUE"""),"S")</f>
        <v>S</v>
      </c>
      <c r="F1024" s="189" t="str">
        <f ca="1">IFERROR(__xludf.DUMMYFUNCTION("""COMPUTED_VALUE"""),"S")</f>
        <v>S</v>
      </c>
      <c r="G1024" s="189">
        <f ca="1">IFERROR(__xludf.DUMMYFUNCTION("""COMPUTED_VALUE"""),2)</f>
        <v>2</v>
      </c>
      <c r="H1024" s="196" t="s">
        <v>440</v>
      </c>
      <c r="I1024" s="196"/>
      <c r="J1024" s="196" t="s">
        <v>29</v>
      </c>
      <c r="K1024" s="196"/>
      <c r="L1024" s="196" t="str">
        <v xml:space="preserve"> 190.60</v>
      </c>
      <c r="M1024" s="196"/>
    </row>
    <row r="1025" spans="1:13" ht="14.4" x14ac:dyDescent="0.3">
      <c r="A1025" s="189" t="str">
        <f ca="1">IFERROR(__xludf.DUMMYFUNCTION("""COMPUTED_VALUE"""),"KG")</f>
        <v>KG</v>
      </c>
      <c r="B1025" s="195" t="str">
        <f ca="1">IFERROR(__xludf.DUMMYFUNCTION("""COMPUTED_VALUE"""),"Jasmine Lassman")</f>
        <v>Jasmine Lassman</v>
      </c>
      <c r="C1025" s="189">
        <f ca="1">IFERROR(__xludf.DUMMYFUNCTION("""COMPUTED_VALUE"""),17)</f>
        <v>17</v>
      </c>
      <c r="D1025" s="189" t="str">
        <f ca="1">IFERROR(__xludf.DUMMYFUNCTION("""COMPUTED_VALUE"""),"G")</f>
        <v>G</v>
      </c>
      <c r="E1025" s="189" t="str">
        <f ca="1">IFERROR(__xludf.DUMMYFUNCTION("""COMPUTED_VALUE"""),"S")</f>
        <v>S</v>
      </c>
      <c r="F1025" s="189" t="str">
        <f ca="1">IFERROR(__xludf.DUMMYFUNCTION("""COMPUTED_VALUE"""),"S")</f>
        <v>S</v>
      </c>
      <c r="G1025" s="189">
        <f ca="1">IFERROR(__xludf.DUMMYFUNCTION("""COMPUTED_VALUE"""),2)</f>
        <v>2</v>
      </c>
      <c r="H1025" s="196" t="s">
        <v>441</v>
      </c>
      <c r="I1025" s="196"/>
      <c r="J1025" s="196" t="s">
        <v>29</v>
      </c>
      <c r="K1025" s="196"/>
      <c r="L1025" s="196" t="str">
        <v xml:space="preserve"> 114.25</v>
      </c>
      <c r="M1025" s="196"/>
    </row>
    <row r="1026" spans="1:13" ht="14.4" x14ac:dyDescent="0.3">
      <c r="A1026" s="189" t="str">
        <f ca="1">IFERROR(__xludf.DUMMYFUNCTION("""COMPUTED_VALUE"""),"KG")</f>
        <v>KG</v>
      </c>
      <c r="B1026" s="195" t="str">
        <f ca="1">IFERROR(__xludf.DUMMYFUNCTION("""COMPUTED_VALUE"""),"Jocelyn Brooks")</f>
        <v>Jocelyn Brooks</v>
      </c>
      <c r="C1026" s="189">
        <f ca="1">IFERROR(__xludf.DUMMYFUNCTION("""COMPUTED_VALUE"""),18)</f>
        <v>18</v>
      </c>
      <c r="D1026" s="189" t="str">
        <f ca="1">IFERROR(__xludf.DUMMYFUNCTION("""COMPUTED_VALUE"""),"G")</f>
        <v>G</v>
      </c>
      <c r="E1026" s="189" t="str">
        <f ca="1">IFERROR(__xludf.DUMMYFUNCTION("""COMPUTED_VALUE"""),"S")</f>
        <v>S</v>
      </c>
      <c r="F1026" s="189" t="str">
        <f ca="1">IFERROR(__xludf.DUMMYFUNCTION("""COMPUTED_VALUE"""),"S")</f>
        <v>S</v>
      </c>
      <c r="G1026" s="189">
        <f ca="1">IFERROR(__xludf.DUMMYFUNCTION("""COMPUTED_VALUE"""),2)</f>
        <v>2</v>
      </c>
      <c r="H1026" s="196" t="s">
        <v>442</v>
      </c>
      <c r="I1026" s="196"/>
      <c r="J1026" s="196" t="s">
        <v>29</v>
      </c>
      <c r="K1026" s="196"/>
      <c r="L1026" s="196" t="str">
        <v xml:space="preserve"> 193.15</v>
      </c>
      <c r="M1026" s="196"/>
    </row>
    <row r="1027" spans="1:13" ht="14.4" x14ac:dyDescent="0.3">
      <c r="A1027" s="189" t="str">
        <f ca="1">IFERROR(__xludf.DUMMYFUNCTION("""COMPUTED_VALUE"""),"KG")</f>
        <v>KG</v>
      </c>
      <c r="B1027" s="195" t="str">
        <f ca="1">IFERROR(__xludf.DUMMYFUNCTION("""COMPUTED_VALUE"""),"Kate Li")</f>
        <v>Kate Li</v>
      </c>
      <c r="C1027" s="189">
        <f ca="1">IFERROR(__xludf.DUMMYFUNCTION("""COMPUTED_VALUE"""),17)</f>
        <v>17</v>
      </c>
      <c r="D1027" s="189" t="str">
        <f ca="1">IFERROR(__xludf.DUMMYFUNCTION("""COMPUTED_VALUE"""),"G")</f>
        <v>G</v>
      </c>
      <c r="E1027" s="189" t="str">
        <f ca="1">IFERROR(__xludf.DUMMYFUNCTION("""COMPUTED_VALUE"""),"S")</f>
        <v>S</v>
      </c>
      <c r="F1027" s="189" t="str">
        <f ca="1">IFERROR(__xludf.DUMMYFUNCTION("""COMPUTED_VALUE"""),"S")</f>
        <v>S</v>
      </c>
      <c r="G1027" s="189">
        <f ca="1">IFERROR(__xludf.DUMMYFUNCTION("""COMPUTED_VALUE"""),2)</f>
        <v>2</v>
      </c>
      <c r="H1027" s="196"/>
      <c r="I1027" s="196"/>
      <c r="J1027" s="196"/>
      <c r="K1027" s="196"/>
      <c r="L1027" s="196" t="str">
        <v/>
      </c>
      <c r="M1027" s="196"/>
    </row>
    <row r="1028" spans="1:13" ht="14.4" x14ac:dyDescent="0.3">
      <c r="A1028" s="189" t="str">
        <f ca="1">IFERROR(__xludf.DUMMYFUNCTION("""COMPUTED_VALUE"""),"KG")</f>
        <v>KG</v>
      </c>
      <c r="B1028" s="195" t="str">
        <f ca="1">IFERROR(__xludf.DUMMYFUNCTION("""COMPUTED_VALUE"""),"Liyat Amman")</f>
        <v>Liyat Amman</v>
      </c>
      <c r="C1028" s="189">
        <f ca="1">IFERROR(__xludf.DUMMYFUNCTION("""COMPUTED_VALUE"""),16)</f>
        <v>16</v>
      </c>
      <c r="D1028" s="189" t="str">
        <f ca="1">IFERROR(__xludf.DUMMYFUNCTION("""COMPUTED_VALUE"""),"G")</f>
        <v>G</v>
      </c>
      <c r="E1028" s="189" t="str">
        <f ca="1">IFERROR(__xludf.DUMMYFUNCTION("""COMPUTED_VALUE"""),"S")</f>
        <v>S</v>
      </c>
      <c r="F1028" s="189" t="str">
        <f ca="1">IFERROR(__xludf.DUMMYFUNCTION("""COMPUTED_VALUE"""),"S")</f>
        <v>S</v>
      </c>
      <c r="G1028" s="189">
        <f ca="1">IFERROR(__xludf.DUMMYFUNCTION("""COMPUTED_VALUE"""),2)</f>
        <v>2</v>
      </c>
      <c r="H1028" s="196"/>
      <c r="I1028" s="196"/>
      <c r="J1028" s="196"/>
      <c r="K1028" s="196"/>
      <c r="L1028" s="196" t="str">
        <v/>
      </c>
      <c r="M1028" s="196"/>
    </row>
    <row r="1029" spans="1:13" ht="14.4" x14ac:dyDescent="0.3">
      <c r="A1029" s="189" t="str">
        <f ca="1">IFERROR(__xludf.DUMMYFUNCTION("""COMPUTED_VALUE"""),"KG")</f>
        <v>KG</v>
      </c>
      <c r="B1029" s="195" t="str">
        <f ca="1">IFERROR(__xludf.DUMMYFUNCTION("""COMPUTED_VALUE"""),"Meredith Lawler")</f>
        <v>Meredith Lawler</v>
      </c>
      <c r="C1029" s="189">
        <f ca="1">IFERROR(__xludf.DUMMYFUNCTION("""COMPUTED_VALUE"""),17)</f>
        <v>17</v>
      </c>
      <c r="D1029" s="189" t="str">
        <f ca="1">IFERROR(__xludf.DUMMYFUNCTION("""COMPUTED_VALUE"""),"G")</f>
        <v>G</v>
      </c>
      <c r="E1029" s="189" t="str">
        <f ca="1">IFERROR(__xludf.DUMMYFUNCTION("""COMPUTED_VALUE"""),"S")</f>
        <v>S</v>
      </c>
      <c r="F1029" s="189" t="str">
        <f ca="1">IFERROR(__xludf.DUMMYFUNCTION("""COMPUTED_VALUE"""),"S")</f>
        <v>S</v>
      </c>
      <c r="G1029" s="189">
        <f ca="1">IFERROR(__xludf.DUMMYFUNCTION("""COMPUTED_VALUE"""),2)</f>
        <v>2</v>
      </c>
      <c r="H1029" s="196" t="s">
        <v>70</v>
      </c>
      <c r="I1029" s="196"/>
      <c r="J1029" s="196" t="s">
        <v>29</v>
      </c>
      <c r="K1029" s="196"/>
      <c r="L1029" s="196" t="str">
        <v xml:space="preserve"> 157.50</v>
      </c>
      <c r="M1029" s="196"/>
    </row>
    <row r="1030" spans="1:13" ht="14.4" x14ac:dyDescent="0.3">
      <c r="A1030" s="189" t="str">
        <f ca="1">IFERROR(__xludf.DUMMYFUNCTION("""COMPUTED_VALUE"""),"KG")</f>
        <v>KG</v>
      </c>
      <c r="B1030" s="195" t="str">
        <f ca="1">IFERROR(__xludf.DUMMYFUNCTION("""COMPUTED_VALUE"""),"Riley Diaz")</f>
        <v>Riley Diaz</v>
      </c>
      <c r="C1030" s="189">
        <f ca="1">IFERROR(__xludf.DUMMYFUNCTION("""COMPUTED_VALUE"""),15)</f>
        <v>15</v>
      </c>
      <c r="D1030" s="189" t="str">
        <f ca="1">IFERROR(__xludf.DUMMYFUNCTION("""COMPUTED_VALUE"""),"G")</f>
        <v>G</v>
      </c>
      <c r="E1030" s="189" t="str">
        <f ca="1">IFERROR(__xludf.DUMMYFUNCTION("""COMPUTED_VALUE"""),"S")</f>
        <v>S</v>
      </c>
      <c r="F1030" s="189" t="str">
        <f ca="1">IFERROR(__xludf.DUMMYFUNCTION("""COMPUTED_VALUE"""),"S")</f>
        <v>S</v>
      </c>
      <c r="G1030" s="189">
        <f ca="1">IFERROR(__xludf.DUMMYFUNCTION("""COMPUTED_VALUE"""),2)</f>
        <v>2</v>
      </c>
      <c r="H1030" s="196"/>
      <c r="I1030" s="196"/>
      <c r="J1030" s="196"/>
      <c r="K1030" s="196"/>
      <c r="L1030" s="196" t="str">
        <v/>
      </c>
      <c r="M1030" s="196"/>
    </row>
    <row r="1031" spans="1:13" ht="14.4" x14ac:dyDescent="0.3">
      <c r="A1031" s="189" t="str">
        <f ca="1">IFERROR(__xludf.DUMMYFUNCTION("""COMPUTED_VALUE"""),"KG")</f>
        <v>KG</v>
      </c>
      <c r="B1031" s="195" t="str">
        <f ca="1">IFERROR(__xludf.DUMMYFUNCTION("""COMPUTED_VALUE"""),"Teagan Wielechowski")</f>
        <v>Teagan Wielechowski</v>
      </c>
      <c r="C1031" s="189">
        <f ca="1">IFERROR(__xludf.DUMMYFUNCTION("""COMPUTED_VALUE"""),15)</f>
        <v>15</v>
      </c>
      <c r="D1031" s="189" t="str">
        <f ca="1">IFERROR(__xludf.DUMMYFUNCTION("""COMPUTED_VALUE"""),"G")</f>
        <v>G</v>
      </c>
      <c r="E1031" s="189" t="str">
        <f ca="1">IFERROR(__xludf.DUMMYFUNCTION("""COMPUTED_VALUE"""),"S")</f>
        <v>S</v>
      </c>
      <c r="F1031" s="189" t="str">
        <f ca="1">IFERROR(__xludf.DUMMYFUNCTION("""COMPUTED_VALUE"""),"S")</f>
        <v>S</v>
      </c>
      <c r="G1031" s="189">
        <f ca="1">IFERROR(__xludf.DUMMYFUNCTION("""COMPUTED_VALUE"""),2)</f>
        <v>2</v>
      </c>
      <c r="H1031" s="196"/>
      <c r="I1031" s="196"/>
      <c r="J1031" s="196"/>
      <c r="K1031" s="196"/>
      <c r="L1031" s="196" t="str">
        <v/>
      </c>
      <c r="M1031" s="196"/>
    </row>
    <row r="1032" spans="1:13" ht="14.4" x14ac:dyDescent="0.3">
      <c r="A1032" s="189" t="str">
        <f ca="1">IFERROR(__xludf.DUMMYFUNCTION("""COMPUTED_VALUE"""),"KG")</f>
        <v>KG</v>
      </c>
      <c r="B1032" s="195" t="str">
        <f ca="1">IFERROR(__xludf.DUMMYFUNCTION("""COMPUTED_VALUE"""),"Ziya Bhasin")</f>
        <v>Ziya Bhasin</v>
      </c>
      <c r="C1032" s="189">
        <f ca="1">IFERROR(__xludf.DUMMYFUNCTION("""COMPUTED_VALUE"""),15)</f>
        <v>15</v>
      </c>
      <c r="D1032" s="189" t="str">
        <f ca="1">IFERROR(__xludf.DUMMYFUNCTION("""COMPUTED_VALUE"""),"G")</f>
        <v>G</v>
      </c>
      <c r="E1032" s="189" t="str">
        <f ca="1">IFERROR(__xludf.DUMMYFUNCTION("""COMPUTED_VALUE"""),"S")</f>
        <v>S</v>
      </c>
      <c r="F1032" s="189" t="str">
        <f ca="1">IFERROR(__xludf.DUMMYFUNCTION("""COMPUTED_VALUE"""),"S")</f>
        <v>S</v>
      </c>
      <c r="G1032" s="189">
        <f ca="1">IFERROR(__xludf.DUMMYFUNCTION("""COMPUTED_VALUE"""),2)</f>
        <v>2</v>
      </c>
      <c r="H1032" s="196" t="s">
        <v>443</v>
      </c>
      <c r="I1032" s="196"/>
      <c r="J1032" s="196" t="s">
        <v>29</v>
      </c>
      <c r="K1032" s="196"/>
      <c r="L1032" s="196" t="str">
        <v xml:space="preserve"> 166.35</v>
      </c>
      <c r="M1032" s="196"/>
    </row>
    <row r="1033" spans="1:13" ht="14.4" x14ac:dyDescent="0.3">
      <c r="A1033" s="189" t="str">
        <f ca="1">IFERROR(__xludf.DUMMYFUNCTION("""COMPUTED_VALUE"""),"KG")</f>
        <v>KG</v>
      </c>
      <c r="B1033" s="195" t="str">
        <f ca="1">IFERROR(__xludf.DUMMYFUNCTION("""COMPUTED_VALUE"""),"Adam Nasr")</f>
        <v>Adam Nasr</v>
      </c>
      <c r="C1033" s="189">
        <f ca="1">IFERROR(__xludf.DUMMYFUNCTION("""COMPUTED_VALUE"""),16)</f>
        <v>16</v>
      </c>
      <c r="D1033" s="189" t="str">
        <f ca="1">IFERROR(__xludf.DUMMYFUNCTION("""COMPUTED_VALUE"""),"B")</f>
        <v>B</v>
      </c>
      <c r="E1033" s="189" t="str">
        <f ca="1">IFERROR(__xludf.DUMMYFUNCTION("""COMPUTED_VALUE"""),"S")</f>
        <v>S</v>
      </c>
      <c r="F1033" s="189" t="str">
        <f ca="1">IFERROR(__xludf.DUMMYFUNCTION("""COMPUTED_VALUE"""),"S")</f>
        <v>S</v>
      </c>
      <c r="G1033" s="189">
        <f ca="1">IFERROR(__xludf.DUMMYFUNCTION("""COMPUTED_VALUE"""),2)</f>
        <v>2</v>
      </c>
      <c r="H1033" s="196"/>
      <c r="I1033" s="196"/>
      <c r="J1033" s="196"/>
      <c r="K1033" s="196"/>
      <c r="L1033" s="196" t="str">
        <v/>
      </c>
      <c r="M1033" s="196"/>
    </row>
    <row r="1034" spans="1:13" ht="14.4" x14ac:dyDescent="0.3">
      <c r="A1034" s="189" t="str">
        <f ca="1">IFERROR(__xludf.DUMMYFUNCTION("""COMPUTED_VALUE"""),"KG")</f>
        <v>KG</v>
      </c>
      <c r="B1034" s="195" t="str">
        <f ca="1">IFERROR(__xludf.DUMMYFUNCTION("""COMPUTED_VALUE"""),"Landon Manwaring")</f>
        <v>Landon Manwaring</v>
      </c>
      <c r="C1034" s="189">
        <f ca="1">IFERROR(__xludf.DUMMYFUNCTION("""COMPUTED_VALUE"""),15)</f>
        <v>15</v>
      </c>
      <c r="D1034" s="189" t="str">
        <f ca="1">IFERROR(__xludf.DUMMYFUNCTION("""COMPUTED_VALUE"""),"B")</f>
        <v>B</v>
      </c>
      <c r="E1034" s="189" t="str">
        <f ca="1">IFERROR(__xludf.DUMMYFUNCTION("""COMPUTED_VALUE"""),"S")</f>
        <v>S</v>
      </c>
      <c r="F1034" s="189" t="str">
        <f ca="1">IFERROR(__xludf.DUMMYFUNCTION("""COMPUTED_VALUE"""),"S")</f>
        <v>S</v>
      </c>
      <c r="G1034" s="189">
        <f ca="1">IFERROR(__xludf.DUMMYFUNCTION("""COMPUTED_VALUE"""),2)</f>
        <v>2</v>
      </c>
      <c r="H1034" s="196"/>
      <c r="I1034" s="196"/>
      <c r="J1034" s="196"/>
      <c r="K1034" s="196"/>
      <c r="L1034" s="196" t="str">
        <v/>
      </c>
      <c r="M1034" s="196"/>
    </row>
    <row r="1035" spans="1:13" ht="14.4" x14ac:dyDescent="0.3">
      <c r="A1035" s="189" t="str">
        <f ca="1">IFERROR(__xludf.DUMMYFUNCTION("""COMPUTED_VALUE"""),"KG")</f>
        <v>KG</v>
      </c>
      <c r="B1035" s="195" t="str">
        <f ca="1">IFERROR(__xludf.DUMMYFUNCTION("""COMPUTED_VALUE"""),"Sean Memon")</f>
        <v>Sean Memon</v>
      </c>
      <c r="C1035" s="189">
        <f ca="1">IFERROR(__xludf.DUMMYFUNCTION("""COMPUTED_VALUE"""),17)</f>
        <v>17</v>
      </c>
      <c r="D1035" s="189" t="str">
        <f ca="1">IFERROR(__xludf.DUMMYFUNCTION("""COMPUTED_VALUE"""),"B")</f>
        <v>B</v>
      </c>
      <c r="E1035" s="189" t="str">
        <f ca="1">IFERROR(__xludf.DUMMYFUNCTION("""COMPUTED_VALUE"""),"S")</f>
        <v>S</v>
      </c>
      <c r="F1035" s="189" t="str">
        <f ca="1">IFERROR(__xludf.DUMMYFUNCTION("""COMPUTED_VALUE"""),"S")</f>
        <v>S</v>
      </c>
      <c r="G1035" s="189">
        <f ca="1">IFERROR(__xludf.DUMMYFUNCTION("""COMPUTED_VALUE"""),2)</f>
        <v>2</v>
      </c>
      <c r="H1035" s="196" t="s">
        <v>444</v>
      </c>
      <c r="I1035" s="196"/>
      <c r="J1035" s="196" t="s">
        <v>29</v>
      </c>
      <c r="K1035" s="196"/>
      <c r="L1035" s="196" t="str">
        <v xml:space="preserve"> 209.00</v>
      </c>
      <c r="M1035" s="196"/>
    </row>
    <row r="1036" spans="1:13" ht="14.4" x14ac:dyDescent="0.3">
      <c r="A1036" s="189" t="str">
        <f ca="1">IFERROR(__xludf.DUMMYFUNCTION("""COMPUTED_VALUE"""),"LG")</f>
        <v>LG</v>
      </c>
      <c r="B1036" s="195" t="str">
        <f ca="1">IFERROR(__xludf.DUMMYFUNCTION("""COMPUTED_VALUE"""),"Arden Allard")</f>
        <v>Arden Allard</v>
      </c>
      <c r="C1036" s="189">
        <f ca="1">IFERROR(__xludf.DUMMYFUNCTION("""COMPUTED_VALUE"""),8)</f>
        <v>8</v>
      </c>
      <c r="D1036" s="189" t="str">
        <f ca="1">IFERROR(__xludf.DUMMYFUNCTION("""COMPUTED_VALUE"""),"G")</f>
        <v>G</v>
      </c>
      <c r="E1036" s="189" t="str">
        <f ca="1">IFERROR(__xludf.DUMMYFUNCTION("""COMPUTED_VALUE"""),"F")</f>
        <v>F</v>
      </c>
      <c r="F1036" s="189" t="str">
        <f ca="1">IFERROR(__xludf.DUMMYFUNCTION("""COMPUTED_VALUE"""),"J")</f>
        <v>J</v>
      </c>
      <c r="G1036" s="189">
        <f ca="1">IFERROR(__xludf.DUMMYFUNCTION("""COMPUTED_VALUE"""),3)</f>
        <v>3</v>
      </c>
      <c r="H1036" s="196"/>
      <c r="I1036" s="196"/>
      <c r="J1036" s="196"/>
      <c r="K1036" s="196"/>
      <c r="L1036" s="196" t="str">
        <v/>
      </c>
      <c r="M1036" s="196"/>
    </row>
    <row r="1037" spans="1:13" ht="14.4" x14ac:dyDescent="0.3">
      <c r="A1037" s="189" t="str">
        <f ca="1">IFERROR(__xludf.DUMMYFUNCTION("""COMPUTED_VALUE"""),"LG")</f>
        <v>LG</v>
      </c>
      <c r="B1037" s="195" t="str">
        <f ca="1">IFERROR(__xludf.DUMMYFUNCTION("""COMPUTED_VALUE"""),"Clara Lauver")</f>
        <v>Clara Lauver</v>
      </c>
      <c r="C1037" s="189">
        <f ca="1">IFERROR(__xludf.DUMMYFUNCTION("""COMPUTED_VALUE"""),7)</f>
        <v>7</v>
      </c>
      <c r="D1037" s="189" t="str">
        <f ca="1">IFERROR(__xludf.DUMMYFUNCTION("""COMPUTED_VALUE"""),"G")</f>
        <v>G</v>
      </c>
      <c r="E1037" s="189" t="str">
        <f ca="1">IFERROR(__xludf.DUMMYFUNCTION("""COMPUTED_VALUE"""),"F")</f>
        <v>F</v>
      </c>
      <c r="F1037" s="189" t="str">
        <f ca="1">IFERROR(__xludf.DUMMYFUNCTION("""COMPUTED_VALUE"""),"J")</f>
        <v>J</v>
      </c>
      <c r="G1037" s="189">
        <f ca="1">IFERROR(__xludf.DUMMYFUNCTION("""COMPUTED_VALUE"""),3)</f>
        <v>3</v>
      </c>
      <c r="H1037" s="196"/>
      <c r="I1037" s="196"/>
      <c r="J1037" s="196"/>
      <c r="K1037" s="196"/>
      <c r="L1037" s="196" t="str">
        <v/>
      </c>
      <c r="M1037" s="196"/>
    </row>
    <row r="1038" spans="1:13" ht="14.4" x14ac:dyDescent="0.3">
      <c r="A1038" s="189" t="str">
        <f ca="1">IFERROR(__xludf.DUMMYFUNCTION("""COMPUTED_VALUE"""),"LG")</f>
        <v>LG</v>
      </c>
      <c r="B1038" s="195" t="str">
        <f ca="1">IFERROR(__xludf.DUMMYFUNCTION("""COMPUTED_VALUE"""),"Emily Newton")</f>
        <v>Emily Newton</v>
      </c>
      <c r="C1038" s="189">
        <f ca="1">IFERROR(__xludf.DUMMYFUNCTION("""COMPUTED_VALUE"""),8)</f>
        <v>8</v>
      </c>
      <c r="D1038" s="189" t="str">
        <f ca="1">IFERROR(__xludf.DUMMYFUNCTION("""COMPUTED_VALUE"""),"G")</f>
        <v>G</v>
      </c>
      <c r="E1038" s="189" t="str">
        <f ca="1">IFERROR(__xludf.DUMMYFUNCTION("""COMPUTED_VALUE"""),"F")</f>
        <v>F</v>
      </c>
      <c r="F1038" s="189" t="str">
        <f ca="1">IFERROR(__xludf.DUMMYFUNCTION("""COMPUTED_VALUE"""),"J")</f>
        <v>J</v>
      </c>
      <c r="G1038" s="189">
        <f ca="1">IFERROR(__xludf.DUMMYFUNCTION("""COMPUTED_VALUE"""),3)</f>
        <v>3</v>
      </c>
      <c r="H1038" s="196"/>
      <c r="I1038" s="196"/>
      <c r="J1038" s="196"/>
      <c r="K1038" s="196"/>
      <c r="L1038" s="196" t="str">
        <v/>
      </c>
      <c r="M1038" s="196"/>
    </row>
    <row r="1039" spans="1:13" ht="14.4" x14ac:dyDescent="0.3">
      <c r="A1039" s="189" t="str">
        <f ca="1">IFERROR(__xludf.DUMMYFUNCTION("""COMPUTED_VALUE"""),"LG")</f>
        <v>LG</v>
      </c>
      <c r="B1039" s="195" t="str">
        <f ca="1">IFERROR(__xludf.DUMMYFUNCTION("""COMPUTED_VALUE"""),"Flor Aldana")</f>
        <v>Flor Aldana</v>
      </c>
      <c r="C1039" s="189">
        <f ca="1">IFERROR(__xludf.DUMMYFUNCTION("""COMPUTED_VALUE"""),10)</f>
        <v>10</v>
      </c>
      <c r="D1039" s="189" t="str">
        <f ca="1">IFERROR(__xludf.DUMMYFUNCTION("""COMPUTED_VALUE"""),"G")</f>
        <v>G</v>
      </c>
      <c r="E1039" s="189" t="str">
        <f ca="1">IFERROR(__xludf.DUMMYFUNCTION("""COMPUTED_VALUE"""),"F")</f>
        <v>F</v>
      </c>
      <c r="F1039" s="189" t="str">
        <f ca="1">IFERROR(__xludf.DUMMYFUNCTION("""COMPUTED_VALUE"""),"J")</f>
        <v>J</v>
      </c>
      <c r="G1039" s="189">
        <f ca="1">IFERROR(__xludf.DUMMYFUNCTION("""COMPUTED_VALUE"""),3)</f>
        <v>3</v>
      </c>
      <c r="H1039" s="196"/>
      <c r="I1039" s="196"/>
      <c r="J1039" s="196"/>
      <c r="K1039" s="196"/>
      <c r="L1039" s="196" t="str">
        <v/>
      </c>
      <c r="M1039" s="196"/>
    </row>
    <row r="1040" spans="1:13" ht="14.4" x14ac:dyDescent="0.3">
      <c r="A1040" s="189" t="str">
        <f ca="1">IFERROR(__xludf.DUMMYFUNCTION("""COMPUTED_VALUE"""),"LG")</f>
        <v>LG</v>
      </c>
      <c r="B1040" s="195" t="str">
        <f ca="1">IFERROR(__xludf.DUMMYFUNCTION("""COMPUTED_VALUE"""),"Grace Swihart")</f>
        <v>Grace Swihart</v>
      </c>
      <c r="C1040" s="189">
        <f ca="1">IFERROR(__xludf.DUMMYFUNCTION("""COMPUTED_VALUE"""),10)</f>
        <v>10</v>
      </c>
      <c r="D1040" s="189" t="str">
        <f ca="1">IFERROR(__xludf.DUMMYFUNCTION("""COMPUTED_VALUE"""),"G")</f>
        <v>G</v>
      </c>
      <c r="E1040" s="189" t="str">
        <f ca="1">IFERROR(__xludf.DUMMYFUNCTION("""COMPUTED_VALUE"""),"F")</f>
        <v>F</v>
      </c>
      <c r="F1040" s="189" t="str">
        <f ca="1">IFERROR(__xludf.DUMMYFUNCTION("""COMPUTED_VALUE"""),"J")</f>
        <v>J</v>
      </c>
      <c r="G1040" s="189">
        <f ca="1">IFERROR(__xludf.DUMMYFUNCTION("""COMPUTED_VALUE"""),3)</f>
        <v>3</v>
      </c>
      <c r="H1040" s="196"/>
      <c r="I1040" s="196"/>
      <c r="J1040" s="196"/>
      <c r="K1040" s="196"/>
      <c r="L1040" s="196" t="str">
        <v/>
      </c>
      <c r="M1040" s="196"/>
    </row>
    <row r="1041" spans="1:13" ht="14.4" x14ac:dyDescent="0.3">
      <c r="A1041" s="189" t="str">
        <f ca="1">IFERROR(__xludf.DUMMYFUNCTION("""COMPUTED_VALUE"""),"LG")</f>
        <v>LG</v>
      </c>
      <c r="B1041" s="195" t="str">
        <f ca="1">IFERROR(__xludf.DUMMYFUNCTION("""COMPUTED_VALUE"""),"Hazel Lauver")</f>
        <v>Hazel Lauver</v>
      </c>
      <c r="C1041" s="189">
        <f ca="1">IFERROR(__xludf.DUMMYFUNCTION("""COMPUTED_VALUE"""),9)</f>
        <v>9</v>
      </c>
      <c r="D1041" s="189" t="str">
        <f ca="1">IFERROR(__xludf.DUMMYFUNCTION("""COMPUTED_VALUE"""),"G")</f>
        <v>G</v>
      </c>
      <c r="E1041" s="189" t="str">
        <f ca="1">IFERROR(__xludf.DUMMYFUNCTION("""COMPUTED_VALUE"""),"F")</f>
        <v>F</v>
      </c>
      <c r="F1041" s="189" t="str">
        <f ca="1">IFERROR(__xludf.DUMMYFUNCTION("""COMPUTED_VALUE"""),"J")</f>
        <v>J</v>
      </c>
      <c r="G1041" s="189">
        <f ca="1">IFERROR(__xludf.DUMMYFUNCTION("""COMPUTED_VALUE"""),3)</f>
        <v>3</v>
      </c>
      <c r="H1041" s="196" t="s">
        <v>445</v>
      </c>
      <c r="I1041" s="196"/>
      <c r="J1041" s="196" t="s">
        <v>29</v>
      </c>
      <c r="K1041" s="196"/>
      <c r="L1041" s="196" t="str">
        <v xml:space="preserve"> 30.75</v>
      </c>
      <c r="M1041" s="196"/>
    </row>
    <row r="1042" spans="1:13" ht="14.4" x14ac:dyDescent="0.3">
      <c r="A1042" s="189" t="str">
        <f ca="1">IFERROR(__xludf.DUMMYFUNCTION("""COMPUTED_VALUE"""),"LG")</f>
        <v>LG</v>
      </c>
      <c r="B1042" s="195" t="str">
        <f ca="1">IFERROR(__xludf.DUMMYFUNCTION("""COMPUTED_VALUE"""),"Hodges Newton")</f>
        <v>Hodges Newton</v>
      </c>
      <c r="C1042" s="189">
        <f ca="1">IFERROR(__xludf.DUMMYFUNCTION("""COMPUTED_VALUE"""),10)</f>
        <v>10</v>
      </c>
      <c r="D1042" s="189" t="str">
        <f ca="1">IFERROR(__xludf.DUMMYFUNCTION("""COMPUTED_VALUE"""),"G")</f>
        <v>G</v>
      </c>
      <c r="E1042" s="189" t="str">
        <f ca="1">IFERROR(__xludf.DUMMYFUNCTION("""COMPUTED_VALUE"""),"F")</f>
        <v>F</v>
      </c>
      <c r="F1042" s="189" t="str">
        <f ca="1">IFERROR(__xludf.DUMMYFUNCTION("""COMPUTED_VALUE"""),"J")</f>
        <v>J</v>
      </c>
      <c r="G1042" s="189">
        <f ca="1">IFERROR(__xludf.DUMMYFUNCTION("""COMPUTED_VALUE"""),3)</f>
        <v>3</v>
      </c>
      <c r="H1042" s="196"/>
      <c r="I1042" s="196"/>
      <c r="J1042" s="196"/>
      <c r="K1042" s="196"/>
      <c r="L1042" s="196" t="str">
        <v/>
      </c>
      <c r="M1042" s="196"/>
    </row>
    <row r="1043" spans="1:13" ht="14.4" x14ac:dyDescent="0.3">
      <c r="A1043" s="189" t="str">
        <f ca="1">IFERROR(__xludf.DUMMYFUNCTION("""COMPUTED_VALUE"""),"LG")</f>
        <v>LG</v>
      </c>
      <c r="B1043" s="195" t="str">
        <f ca="1">IFERROR(__xludf.DUMMYFUNCTION("""COMPUTED_VALUE"""),"Julia Kent")</f>
        <v>Julia Kent</v>
      </c>
      <c r="C1043" s="189">
        <f ca="1">IFERROR(__xludf.DUMMYFUNCTION("""COMPUTED_VALUE"""),10)</f>
        <v>10</v>
      </c>
      <c r="D1043" s="189" t="str">
        <f ca="1">IFERROR(__xludf.DUMMYFUNCTION("""COMPUTED_VALUE"""),"G")</f>
        <v>G</v>
      </c>
      <c r="E1043" s="189" t="str">
        <f ca="1">IFERROR(__xludf.DUMMYFUNCTION("""COMPUTED_VALUE"""),"F")</f>
        <v>F</v>
      </c>
      <c r="F1043" s="189" t="str">
        <f ca="1">IFERROR(__xludf.DUMMYFUNCTION("""COMPUTED_VALUE"""),"J")</f>
        <v>J</v>
      </c>
      <c r="G1043" s="189">
        <f ca="1">IFERROR(__xludf.DUMMYFUNCTION("""COMPUTED_VALUE"""),3)</f>
        <v>3</v>
      </c>
      <c r="H1043" s="196"/>
      <c r="I1043" s="196"/>
      <c r="J1043" s="196"/>
      <c r="K1043" s="196"/>
      <c r="L1043" s="196" t="str">
        <v/>
      </c>
      <c r="M1043" s="196"/>
    </row>
    <row r="1044" spans="1:13" ht="14.4" x14ac:dyDescent="0.3">
      <c r="A1044" s="189" t="str">
        <f ca="1">IFERROR(__xludf.DUMMYFUNCTION("""COMPUTED_VALUE"""),"LG")</f>
        <v>LG</v>
      </c>
      <c r="B1044" s="195" t="str">
        <f ca="1">IFERROR(__xludf.DUMMYFUNCTION("""COMPUTED_VALUE"""),"June Tuss")</f>
        <v>June Tuss</v>
      </c>
      <c r="C1044" s="189">
        <f ca="1">IFERROR(__xludf.DUMMYFUNCTION("""COMPUTED_VALUE"""),10)</f>
        <v>10</v>
      </c>
      <c r="D1044" s="189" t="str">
        <f ca="1">IFERROR(__xludf.DUMMYFUNCTION("""COMPUTED_VALUE"""),"G")</f>
        <v>G</v>
      </c>
      <c r="E1044" s="189" t="str">
        <f ca="1">IFERROR(__xludf.DUMMYFUNCTION("""COMPUTED_VALUE"""),"F")</f>
        <v>F</v>
      </c>
      <c r="F1044" s="189" t="str">
        <f ca="1">IFERROR(__xludf.DUMMYFUNCTION("""COMPUTED_VALUE"""),"J")</f>
        <v>J</v>
      </c>
      <c r="G1044" s="189">
        <f ca="1">IFERROR(__xludf.DUMMYFUNCTION("""COMPUTED_VALUE"""),3)</f>
        <v>3</v>
      </c>
      <c r="H1044" s="196"/>
      <c r="I1044" s="196"/>
      <c r="J1044" s="196"/>
      <c r="K1044" s="196"/>
      <c r="L1044" s="196" t="str">
        <v/>
      </c>
      <c r="M1044" s="196"/>
    </row>
    <row r="1045" spans="1:13" ht="14.4" x14ac:dyDescent="0.3">
      <c r="A1045" s="189" t="str">
        <f ca="1">IFERROR(__xludf.DUMMYFUNCTION("""COMPUTED_VALUE"""),"LG")</f>
        <v>LG</v>
      </c>
      <c r="B1045" s="195" t="str">
        <f ca="1">IFERROR(__xludf.DUMMYFUNCTION("""COMPUTED_VALUE"""),"Lauren Hefferan")</f>
        <v>Lauren Hefferan</v>
      </c>
      <c r="C1045" s="189">
        <f ca="1">IFERROR(__xludf.DUMMYFUNCTION("""COMPUTED_VALUE"""),8)</f>
        <v>8</v>
      </c>
      <c r="D1045" s="189" t="str">
        <f ca="1">IFERROR(__xludf.DUMMYFUNCTION("""COMPUTED_VALUE"""),"G")</f>
        <v>G</v>
      </c>
      <c r="E1045" s="189" t="str">
        <f ca="1">IFERROR(__xludf.DUMMYFUNCTION("""COMPUTED_VALUE"""),"F")</f>
        <v>F</v>
      </c>
      <c r="F1045" s="189" t="str">
        <f ca="1">IFERROR(__xludf.DUMMYFUNCTION("""COMPUTED_VALUE"""),"J")</f>
        <v>J</v>
      </c>
      <c r="G1045" s="189">
        <f ca="1">IFERROR(__xludf.DUMMYFUNCTION("""COMPUTED_VALUE"""),3)</f>
        <v>3</v>
      </c>
      <c r="H1045" s="196"/>
      <c r="I1045" s="196"/>
      <c r="J1045" s="196"/>
      <c r="K1045" s="196"/>
      <c r="L1045" s="196" t="str">
        <v/>
      </c>
      <c r="M1045" s="196"/>
    </row>
    <row r="1046" spans="1:13" ht="14.4" x14ac:dyDescent="0.3">
      <c r="A1046" s="189" t="str">
        <f ca="1">IFERROR(__xludf.DUMMYFUNCTION("""COMPUTED_VALUE"""),"LG")</f>
        <v>LG</v>
      </c>
      <c r="B1046" s="195" t="str">
        <f ca="1">IFERROR(__xludf.DUMMYFUNCTION("""COMPUTED_VALUE"""),"Lia McFayden")</f>
        <v>Lia McFayden</v>
      </c>
      <c r="C1046" s="189">
        <f ca="1">IFERROR(__xludf.DUMMYFUNCTION("""COMPUTED_VALUE"""),10)</f>
        <v>10</v>
      </c>
      <c r="D1046" s="189" t="str">
        <f ca="1">IFERROR(__xludf.DUMMYFUNCTION("""COMPUTED_VALUE"""),"G")</f>
        <v>G</v>
      </c>
      <c r="E1046" s="189" t="str">
        <f ca="1">IFERROR(__xludf.DUMMYFUNCTION("""COMPUTED_VALUE"""),"F")</f>
        <v>F</v>
      </c>
      <c r="F1046" s="189" t="str">
        <f ca="1">IFERROR(__xludf.DUMMYFUNCTION("""COMPUTED_VALUE"""),"J")</f>
        <v>J</v>
      </c>
      <c r="G1046" s="189">
        <f ca="1">IFERROR(__xludf.DUMMYFUNCTION("""COMPUTED_VALUE"""),3)</f>
        <v>3</v>
      </c>
      <c r="H1046" s="196"/>
      <c r="I1046" s="196"/>
      <c r="J1046" s="196"/>
      <c r="K1046" s="196"/>
      <c r="L1046" s="196" t="str">
        <v/>
      </c>
      <c r="M1046" s="196"/>
    </row>
    <row r="1047" spans="1:13" ht="14.4" x14ac:dyDescent="0.3">
      <c r="A1047" s="189" t="str">
        <f ca="1">IFERROR(__xludf.DUMMYFUNCTION("""COMPUTED_VALUE"""),"LG")</f>
        <v>LG</v>
      </c>
      <c r="B1047" s="195" t="str">
        <f ca="1">IFERROR(__xludf.DUMMYFUNCTION("""COMPUTED_VALUE"""),"Lillian Kent")</f>
        <v>Lillian Kent</v>
      </c>
      <c r="C1047" s="189">
        <f ca="1">IFERROR(__xludf.DUMMYFUNCTION("""COMPUTED_VALUE"""),8)</f>
        <v>8</v>
      </c>
      <c r="D1047" s="189" t="str">
        <f ca="1">IFERROR(__xludf.DUMMYFUNCTION("""COMPUTED_VALUE"""),"G")</f>
        <v>G</v>
      </c>
      <c r="E1047" s="189" t="str">
        <f ca="1">IFERROR(__xludf.DUMMYFUNCTION("""COMPUTED_VALUE"""),"F")</f>
        <v>F</v>
      </c>
      <c r="F1047" s="189" t="str">
        <f ca="1">IFERROR(__xludf.DUMMYFUNCTION("""COMPUTED_VALUE"""),"J")</f>
        <v>J</v>
      </c>
      <c r="G1047" s="189">
        <f ca="1">IFERROR(__xludf.DUMMYFUNCTION("""COMPUTED_VALUE"""),3)</f>
        <v>3</v>
      </c>
      <c r="H1047" s="196"/>
      <c r="I1047" s="196"/>
      <c r="J1047" s="196"/>
      <c r="K1047" s="196"/>
      <c r="L1047" s="196" t="str">
        <v/>
      </c>
      <c r="M1047" s="196"/>
    </row>
    <row r="1048" spans="1:13" ht="14.4" x14ac:dyDescent="0.3">
      <c r="A1048" s="189" t="str">
        <f ca="1">IFERROR(__xludf.DUMMYFUNCTION("""COMPUTED_VALUE"""),"LG")</f>
        <v>LG</v>
      </c>
      <c r="B1048" s="195" t="str">
        <f ca="1">IFERROR(__xludf.DUMMYFUNCTION("""COMPUTED_VALUE"""),"Lily Larson")</f>
        <v>Lily Larson</v>
      </c>
      <c r="C1048" s="189">
        <f ca="1">IFERROR(__xludf.DUMMYFUNCTION("""COMPUTED_VALUE"""),10)</f>
        <v>10</v>
      </c>
      <c r="D1048" s="189" t="str">
        <f ca="1">IFERROR(__xludf.DUMMYFUNCTION("""COMPUTED_VALUE"""),"G")</f>
        <v>G</v>
      </c>
      <c r="E1048" s="189" t="str">
        <f ca="1">IFERROR(__xludf.DUMMYFUNCTION("""COMPUTED_VALUE"""),"F")</f>
        <v>F</v>
      </c>
      <c r="F1048" s="189" t="str">
        <f ca="1">IFERROR(__xludf.DUMMYFUNCTION("""COMPUTED_VALUE"""),"J")</f>
        <v>J</v>
      </c>
      <c r="G1048" s="189">
        <f ca="1">IFERROR(__xludf.DUMMYFUNCTION("""COMPUTED_VALUE"""),3)</f>
        <v>3</v>
      </c>
      <c r="H1048" s="196"/>
      <c r="I1048" s="196"/>
      <c r="J1048" s="196"/>
      <c r="K1048" s="196"/>
      <c r="L1048" s="196" t="str">
        <v/>
      </c>
      <c r="M1048" s="196"/>
    </row>
    <row r="1049" spans="1:13" ht="14.4" x14ac:dyDescent="0.3">
      <c r="A1049" s="189" t="str">
        <f ca="1">IFERROR(__xludf.DUMMYFUNCTION("""COMPUTED_VALUE"""),"LG")</f>
        <v>LG</v>
      </c>
      <c r="B1049" s="195" t="str">
        <f ca="1">IFERROR(__xludf.DUMMYFUNCTION("""COMPUTED_VALUE"""),"Lorelei Powell")</f>
        <v>Lorelei Powell</v>
      </c>
      <c r="C1049" s="189">
        <f ca="1">IFERROR(__xludf.DUMMYFUNCTION("""COMPUTED_VALUE"""),9)</f>
        <v>9</v>
      </c>
      <c r="D1049" s="189" t="str">
        <f ca="1">IFERROR(__xludf.DUMMYFUNCTION("""COMPUTED_VALUE"""),"G")</f>
        <v>G</v>
      </c>
      <c r="E1049" s="189" t="str">
        <f ca="1">IFERROR(__xludf.DUMMYFUNCTION("""COMPUTED_VALUE"""),"F")</f>
        <v>F</v>
      </c>
      <c r="F1049" s="189" t="str">
        <f ca="1">IFERROR(__xludf.DUMMYFUNCTION("""COMPUTED_VALUE"""),"J")</f>
        <v>J</v>
      </c>
      <c r="G1049" s="189">
        <f ca="1">IFERROR(__xludf.DUMMYFUNCTION("""COMPUTED_VALUE"""),3)</f>
        <v>3</v>
      </c>
      <c r="H1049" s="196"/>
      <c r="I1049" s="196"/>
      <c r="J1049" s="196"/>
      <c r="K1049" s="196"/>
      <c r="L1049" s="196" t="str">
        <v/>
      </c>
      <c r="M1049" s="196"/>
    </row>
    <row r="1050" spans="1:13" ht="14.4" x14ac:dyDescent="0.3">
      <c r="A1050" s="189" t="str">
        <f ca="1">IFERROR(__xludf.DUMMYFUNCTION("""COMPUTED_VALUE"""),"LG")</f>
        <v>LG</v>
      </c>
      <c r="B1050" s="195" t="str">
        <f ca="1">IFERROR(__xludf.DUMMYFUNCTION("""COMPUTED_VALUE"""),"Mari Tovar")</f>
        <v>Mari Tovar</v>
      </c>
      <c r="C1050" s="189">
        <f ca="1">IFERROR(__xludf.DUMMYFUNCTION("""COMPUTED_VALUE"""),8)</f>
        <v>8</v>
      </c>
      <c r="D1050" s="189" t="str">
        <f ca="1">IFERROR(__xludf.DUMMYFUNCTION("""COMPUTED_VALUE"""),"G")</f>
        <v>G</v>
      </c>
      <c r="E1050" s="189" t="str">
        <f ca="1">IFERROR(__xludf.DUMMYFUNCTION("""COMPUTED_VALUE"""),"F")</f>
        <v>F</v>
      </c>
      <c r="F1050" s="189" t="str">
        <f ca="1">IFERROR(__xludf.DUMMYFUNCTION("""COMPUTED_VALUE"""),"J")</f>
        <v>J</v>
      </c>
      <c r="G1050" s="189">
        <f ca="1">IFERROR(__xludf.DUMMYFUNCTION("""COMPUTED_VALUE"""),3)</f>
        <v>3</v>
      </c>
      <c r="H1050" s="196" t="s">
        <v>139</v>
      </c>
      <c r="I1050" s="196"/>
      <c r="J1050" s="196" t="s">
        <v>29</v>
      </c>
      <c r="K1050" s="196"/>
      <c r="L1050" s="196" t="str">
        <v xml:space="preserve"> 25.90</v>
      </c>
      <c r="M1050" s="196"/>
    </row>
    <row r="1051" spans="1:13" ht="14.4" x14ac:dyDescent="0.3">
      <c r="A1051" s="189" t="str">
        <f ca="1">IFERROR(__xludf.DUMMYFUNCTION("""COMPUTED_VALUE"""),"LG")</f>
        <v>LG</v>
      </c>
      <c r="B1051" s="195" t="str">
        <f ca="1">IFERROR(__xludf.DUMMYFUNCTION("""COMPUTED_VALUE"""),"Mary Brooks Simoneaux")</f>
        <v>Mary Brooks Simoneaux</v>
      </c>
      <c r="C1051" s="189">
        <f ca="1">IFERROR(__xludf.DUMMYFUNCTION("""COMPUTED_VALUE"""),10)</f>
        <v>10</v>
      </c>
      <c r="D1051" s="189" t="str">
        <f ca="1">IFERROR(__xludf.DUMMYFUNCTION("""COMPUTED_VALUE"""),"G")</f>
        <v>G</v>
      </c>
      <c r="E1051" s="189" t="str">
        <f ca="1">IFERROR(__xludf.DUMMYFUNCTION("""COMPUTED_VALUE"""),"F")</f>
        <v>F</v>
      </c>
      <c r="F1051" s="189" t="str">
        <f ca="1">IFERROR(__xludf.DUMMYFUNCTION("""COMPUTED_VALUE"""),"J")</f>
        <v>J</v>
      </c>
      <c r="G1051" s="189">
        <f ca="1">IFERROR(__xludf.DUMMYFUNCTION("""COMPUTED_VALUE"""),3)</f>
        <v>3</v>
      </c>
      <c r="H1051" s="196" t="s">
        <v>446</v>
      </c>
      <c r="I1051" s="196"/>
      <c r="J1051" s="196" t="s">
        <v>29</v>
      </c>
      <c r="K1051" s="196"/>
      <c r="L1051" s="196" t="str">
        <v xml:space="preserve"> 37.15</v>
      </c>
      <c r="M1051" s="196"/>
    </row>
    <row r="1052" spans="1:13" ht="14.4" x14ac:dyDescent="0.3">
      <c r="A1052" s="189" t="str">
        <f ca="1">IFERROR(__xludf.DUMMYFUNCTION("""COMPUTED_VALUE"""),"LG")</f>
        <v>LG</v>
      </c>
      <c r="B1052" s="195" t="str">
        <f ca="1">IFERROR(__xludf.DUMMYFUNCTION("""COMPUTED_VALUE"""),"McKinley Cervenak")</f>
        <v>McKinley Cervenak</v>
      </c>
      <c r="C1052" s="189">
        <f ca="1">IFERROR(__xludf.DUMMYFUNCTION("""COMPUTED_VALUE"""),9)</f>
        <v>9</v>
      </c>
      <c r="D1052" s="189" t="str">
        <f ca="1">IFERROR(__xludf.DUMMYFUNCTION("""COMPUTED_VALUE"""),"G")</f>
        <v>G</v>
      </c>
      <c r="E1052" s="189" t="str">
        <f ca="1">IFERROR(__xludf.DUMMYFUNCTION("""COMPUTED_VALUE"""),"F")</f>
        <v>F</v>
      </c>
      <c r="F1052" s="189" t="str">
        <f ca="1">IFERROR(__xludf.DUMMYFUNCTION("""COMPUTED_VALUE"""),"J")</f>
        <v>J</v>
      </c>
      <c r="G1052" s="189">
        <f ca="1">IFERROR(__xludf.DUMMYFUNCTION("""COMPUTED_VALUE"""),3)</f>
        <v>3</v>
      </c>
      <c r="H1052" s="196" t="s">
        <v>447</v>
      </c>
      <c r="I1052" s="196"/>
      <c r="J1052" s="196" t="s">
        <v>29</v>
      </c>
      <c r="K1052" s="196"/>
      <c r="L1052" s="196" t="str">
        <v xml:space="preserve"> 49.80</v>
      </c>
      <c r="M1052" s="196"/>
    </row>
    <row r="1053" spans="1:13" ht="14.4" x14ac:dyDescent="0.3">
      <c r="A1053" s="189" t="str">
        <f ca="1">IFERROR(__xludf.DUMMYFUNCTION("""COMPUTED_VALUE"""),"LG")</f>
        <v>LG</v>
      </c>
      <c r="B1053" s="195" t="str">
        <f ca="1">IFERROR(__xludf.DUMMYFUNCTION("""COMPUTED_VALUE"""),"Misha Mullen")</f>
        <v>Misha Mullen</v>
      </c>
      <c r="C1053" s="189">
        <f ca="1">IFERROR(__xludf.DUMMYFUNCTION("""COMPUTED_VALUE"""),7)</f>
        <v>7</v>
      </c>
      <c r="D1053" s="189" t="str">
        <f ca="1">IFERROR(__xludf.DUMMYFUNCTION("""COMPUTED_VALUE"""),"G")</f>
        <v>G</v>
      </c>
      <c r="E1053" s="189" t="str">
        <f ca="1">IFERROR(__xludf.DUMMYFUNCTION("""COMPUTED_VALUE"""),"F")</f>
        <v>F</v>
      </c>
      <c r="F1053" s="189" t="str">
        <f ca="1">IFERROR(__xludf.DUMMYFUNCTION("""COMPUTED_VALUE"""),"J")</f>
        <v>J</v>
      </c>
      <c r="G1053" s="189">
        <f ca="1">IFERROR(__xludf.DUMMYFUNCTION("""COMPUTED_VALUE"""),3)</f>
        <v>3</v>
      </c>
      <c r="H1053" s="196" t="s">
        <v>320</v>
      </c>
      <c r="I1053" s="196"/>
      <c r="J1053" s="196" t="s">
        <v>29</v>
      </c>
      <c r="K1053" s="196"/>
      <c r="L1053" s="196" t="str">
        <v xml:space="preserve"> 51.55</v>
      </c>
      <c r="M1053" s="196"/>
    </row>
    <row r="1054" spans="1:13" ht="14.4" x14ac:dyDescent="0.3">
      <c r="A1054" s="189" t="str">
        <f ca="1">IFERROR(__xludf.DUMMYFUNCTION("""COMPUTED_VALUE"""),"LG")</f>
        <v>LG</v>
      </c>
      <c r="B1054" s="195" t="str">
        <f ca="1">IFERROR(__xludf.DUMMYFUNCTION("""COMPUTED_VALUE"""),"Natalie Frasure")</f>
        <v>Natalie Frasure</v>
      </c>
      <c r="C1054" s="189">
        <f ca="1">IFERROR(__xludf.DUMMYFUNCTION("""COMPUTED_VALUE"""),8)</f>
        <v>8</v>
      </c>
      <c r="D1054" s="189" t="str">
        <f ca="1">IFERROR(__xludf.DUMMYFUNCTION("""COMPUTED_VALUE"""),"G")</f>
        <v>G</v>
      </c>
      <c r="E1054" s="189" t="str">
        <f ca="1">IFERROR(__xludf.DUMMYFUNCTION("""COMPUTED_VALUE"""),"F")</f>
        <v>F</v>
      </c>
      <c r="F1054" s="189" t="str">
        <f ca="1">IFERROR(__xludf.DUMMYFUNCTION("""COMPUTED_VALUE"""),"J")</f>
        <v>J</v>
      </c>
      <c r="G1054" s="189">
        <f ca="1">IFERROR(__xludf.DUMMYFUNCTION("""COMPUTED_VALUE"""),3)</f>
        <v>3</v>
      </c>
      <c r="H1054" s="196"/>
      <c r="I1054" s="196"/>
      <c r="J1054" s="196"/>
      <c r="K1054" s="196"/>
      <c r="L1054" s="196" t="str">
        <v/>
      </c>
      <c r="M1054" s="196"/>
    </row>
    <row r="1055" spans="1:13" ht="14.4" x14ac:dyDescent="0.3">
      <c r="A1055" s="189" t="str">
        <f ca="1">IFERROR(__xludf.DUMMYFUNCTION("""COMPUTED_VALUE"""),"LG")</f>
        <v>LG</v>
      </c>
      <c r="B1055" s="195" t="str">
        <f ca="1">IFERROR(__xludf.DUMMYFUNCTION("""COMPUTED_VALUE"""),"Nela Mullen")</f>
        <v>Nela Mullen</v>
      </c>
      <c r="C1055" s="189">
        <f ca="1">IFERROR(__xludf.DUMMYFUNCTION("""COMPUTED_VALUE"""),6)</f>
        <v>6</v>
      </c>
      <c r="D1055" s="189" t="str">
        <f ca="1">IFERROR(__xludf.DUMMYFUNCTION("""COMPUTED_VALUE"""),"G")</f>
        <v>G</v>
      </c>
      <c r="E1055" s="189" t="str">
        <f ca="1">IFERROR(__xludf.DUMMYFUNCTION("""COMPUTED_VALUE"""),"F")</f>
        <v>F</v>
      </c>
      <c r="F1055" s="189" t="str">
        <f ca="1">IFERROR(__xludf.DUMMYFUNCTION("""COMPUTED_VALUE"""),"J")</f>
        <v>J</v>
      </c>
      <c r="G1055" s="189">
        <f ca="1">IFERROR(__xludf.DUMMYFUNCTION("""COMPUTED_VALUE"""),3)</f>
        <v>3</v>
      </c>
      <c r="H1055" s="196"/>
      <c r="I1055" s="196"/>
      <c r="J1055" s="196"/>
      <c r="K1055" s="196"/>
      <c r="L1055" s="196" t="str">
        <v/>
      </c>
      <c r="M1055" s="196"/>
    </row>
    <row r="1056" spans="1:13" ht="14.4" x14ac:dyDescent="0.3">
      <c r="A1056" s="189" t="str">
        <f ca="1">IFERROR(__xludf.DUMMYFUNCTION("""COMPUTED_VALUE"""),"LG")</f>
        <v>LG</v>
      </c>
      <c r="B1056" s="195" t="str">
        <f ca="1">IFERROR(__xludf.DUMMYFUNCTION("""COMPUTED_VALUE"""),"Olivia Swatt")</f>
        <v>Olivia Swatt</v>
      </c>
      <c r="C1056" s="189">
        <f ca="1">IFERROR(__xludf.DUMMYFUNCTION("""COMPUTED_VALUE"""),9)</f>
        <v>9</v>
      </c>
      <c r="D1056" s="189" t="str">
        <f ca="1">IFERROR(__xludf.DUMMYFUNCTION("""COMPUTED_VALUE"""),"G")</f>
        <v>G</v>
      </c>
      <c r="E1056" s="189" t="str">
        <f ca="1">IFERROR(__xludf.DUMMYFUNCTION("""COMPUTED_VALUE"""),"F")</f>
        <v>F</v>
      </c>
      <c r="F1056" s="189" t="str">
        <f ca="1">IFERROR(__xludf.DUMMYFUNCTION("""COMPUTED_VALUE"""),"J")</f>
        <v>J</v>
      </c>
      <c r="G1056" s="189">
        <f ca="1">IFERROR(__xludf.DUMMYFUNCTION("""COMPUTED_VALUE"""),3)</f>
        <v>3</v>
      </c>
      <c r="H1056" s="196"/>
      <c r="I1056" s="196"/>
      <c r="J1056" s="196"/>
      <c r="K1056" s="196"/>
      <c r="L1056" s="196" t="str">
        <v/>
      </c>
      <c r="M1056" s="196"/>
    </row>
    <row r="1057" spans="1:13" ht="14.4" x14ac:dyDescent="0.3">
      <c r="A1057" s="189" t="str">
        <f ca="1">IFERROR(__xludf.DUMMYFUNCTION("""COMPUTED_VALUE"""),"LG")</f>
        <v>LG</v>
      </c>
      <c r="B1057" s="195" t="str">
        <f ca="1">IFERROR(__xludf.DUMMYFUNCTION("""COMPUTED_VALUE"""),"Ruby Conole")</f>
        <v>Ruby Conole</v>
      </c>
      <c r="C1057" s="189">
        <f ca="1">IFERROR(__xludf.DUMMYFUNCTION("""COMPUTED_VALUE"""),7)</f>
        <v>7</v>
      </c>
      <c r="D1057" s="189" t="str">
        <f ca="1">IFERROR(__xludf.DUMMYFUNCTION("""COMPUTED_VALUE"""),"G")</f>
        <v>G</v>
      </c>
      <c r="E1057" s="189" t="str">
        <f ca="1">IFERROR(__xludf.DUMMYFUNCTION("""COMPUTED_VALUE"""),"F")</f>
        <v>F</v>
      </c>
      <c r="F1057" s="189" t="str">
        <f ca="1">IFERROR(__xludf.DUMMYFUNCTION("""COMPUTED_VALUE"""),"J")</f>
        <v>J</v>
      </c>
      <c r="G1057" s="189">
        <f ca="1">IFERROR(__xludf.DUMMYFUNCTION("""COMPUTED_VALUE"""),3)</f>
        <v>3</v>
      </c>
      <c r="H1057" s="196"/>
      <c r="I1057" s="196"/>
      <c r="J1057" s="196"/>
      <c r="K1057" s="196"/>
      <c r="L1057" s="196" t="str">
        <v/>
      </c>
      <c r="M1057" s="196"/>
    </row>
    <row r="1058" spans="1:13" ht="14.4" x14ac:dyDescent="0.3">
      <c r="A1058" s="189" t="str">
        <f ca="1">IFERROR(__xludf.DUMMYFUNCTION("""COMPUTED_VALUE"""),"LG")</f>
        <v>LG</v>
      </c>
      <c r="B1058" s="195" t="str">
        <f ca="1">IFERROR(__xludf.DUMMYFUNCTION("""COMPUTED_VALUE"""),"Sloane Gallagher")</f>
        <v>Sloane Gallagher</v>
      </c>
      <c r="C1058" s="189">
        <f ca="1">IFERROR(__xludf.DUMMYFUNCTION("""COMPUTED_VALUE"""),8)</f>
        <v>8</v>
      </c>
      <c r="D1058" s="189" t="str">
        <f ca="1">IFERROR(__xludf.DUMMYFUNCTION("""COMPUTED_VALUE"""),"G")</f>
        <v>G</v>
      </c>
      <c r="E1058" s="189" t="str">
        <f ca="1">IFERROR(__xludf.DUMMYFUNCTION("""COMPUTED_VALUE"""),"F")</f>
        <v>F</v>
      </c>
      <c r="F1058" s="189" t="str">
        <f ca="1">IFERROR(__xludf.DUMMYFUNCTION("""COMPUTED_VALUE"""),"J")</f>
        <v>J</v>
      </c>
      <c r="G1058" s="189">
        <f ca="1">IFERROR(__xludf.DUMMYFUNCTION("""COMPUTED_VALUE"""),3)</f>
        <v>3</v>
      </c>
      <c r="H1058" s="196"/>
      <c r="I1058" s="196"/>
      <c r="J1058" s="196"/>
      <c r="K1058" s="196"/>
      <c r="L1058" s="196" t="str">
        <v/>
      </c>
      <c r="M1058" s="196"/>
    </row>
    <row r="1059" spans="1:13" ht="14.4" x14ac:dyDescent="0.3">
      <c r="A1059" s="189" t="str">
        <f ca="1">IFERROR(__xludf.DUMMYFUNCTION("""COMPUTED_VALUE"""),"LG")</f>
        <v>LG</v>
      </c>
      <c r="B1059" s="195" t="str">
        <f ca="1">IFERROR(__xludf.DUMMYFUNCTION("""COMPUTED_VALUE"""),"Tasanee Verasin")</f>
        <v>Tasanee Verasin</v>
      </c>
      <c r="C1059" s="189">
        <f ca="1">IFERROR(__xludf.DUMMYFUNCTION("""COMPUTED_VALUE"""),10)</f>
        <v>10</v>
      </c>
      <c r="D1059" s="189" t="str">
        <f ca="1">IFERROR(__xludf.DUMMYFUNCTION("""COMPUTED_VALUE"""),"G")</f>
        <v>G</v>
      </c>
      <c r="E1059" s="189" t="str">
        <f ca="1">IFERROR(__xludf.DUMMYFUNCTION("""COMPUTED_VALUE"""),"F")</f>
        <v>F</v>
      </c>
      <c r="F1059" s="189" t="str">
        <f ca="1">IFERROR(__xludf.DUMMYFUNCTION("""COMPUTED_VALUE"""),"J")</f>
        <v>J</v>
      </c>
      <c r="G1059" s="189">
        <f ca="1">IFERROR(__xludf.DUMMYFUNCTION("""COMPUTED_VALUE"""),3)</f>
        <v>3</v>
      </c>
      <c r="H1059" s="196" t="s">
        <v>448</v>
      </c>
      <c r="I1059" s="196"/>
      <c r="J1059" s="196" t="s">
        <v>29</v>
      </c>
      <c r="K1059" s="196"/>
      <c r="L1059" s="196" t="str">
        <v xml:space="preserve"> 45.40</v>
      </c>
      <c r="M1059" s="196"/>
    </row>
    <row r="1060" spans="1:13" ht="14.4" x14ac:dyDescent="0.3">
      <c r="A1060" s="189" t="str">
        <f ca="1">IFERROR(__xludf.DUMMYFUNCTION("""COMPUTED_VALUE"""),"LG")</f>
        <v>LG</v>
      </c>
      <c r="B1060" s="195" t="str">
        <f ca="1">IFERROR(__xludf.DUMMYFUNCTION("""COMPUTED_VALUE"""),"Violetta Aldana")</f>
        <v>Violetta Aldana</v>
      </c>
      <c r="C1060" s="189">
        <f ca="1">IFERROR(__xludf.DUMMYFUNCTION("""COMPUTED_VALUE"""),8)</f>
        <v>8</v>
      </c>
      <c r="D1060" s="189" t="str">
        <f ca="1">IFERROR(__xludf.DUMMYFUNCTION("""COMPUTED_VALUE"""),"G")</f>
        <v>G</v>
      </c>
      <c r="E1060" s="189" t="str">
        <f ca="1">IFERROR(__xludf.DUMMYFUNCTION("""COMPUTED_VALUE"""),"F")</f>
        <v>F</v>
      </c>
      <c r="F1060" s="189" t="str">
        <f ca="1">IFERROR(__xludf.DUMMYFUNCTION("""COMPUTED_VALUE"""),"J")</f>
        <v>J</v>
      </c>
      <c r="G1060" s="189">
        <f ca="1">IFERROR(__xludf.DUMMYFUNCTION("""COMPUTED_VALUE"""),3)</f>
        <v>3</v>
      </c>
      <c r="H1060" s="196"/>
      <c r="I1060" s="196"/>
      <c r="J1060" s="196"/>
      <c r="K1060" s="196"/>
      <c r="L1060" s="196" t="str">
        <v/>
      </c>
      <c r="M1060" s="196"/>
    </row>
    <row r="1061" spans="1:13" ht="14.4" x14ac:dyDescent="0.3">
      <c r="A1061" s="189" t="str">
        <f ca="1">IFERROR(__xludf.DUMMYFUNCTION("""COMPUTED_VALUE"""),"LG")</f>
        <v>LG</v>
      </c>
      <c r="B1061" s="195" t="str">
        <f ca="1">IFERROR(__xludf.DUMMYFUNCTION("""COMPUTED_VALUE"""),"Warren Paterno")</f>
        <v>Warren Paterno</v>
      </c>
      <c r="C1061" s="189">
        <f ca="1">IFERROR(__xludf.DUMMYFUNCTION("""COMPUTED_VALUE"""),10)</f>
        <v>10</v>
      </c>
      <c r="D1061" s="189" t="str">
        <f ca="1">IFERROR(__xludf.DUMMYFUNCTION("""COMPUTED_VALUE"""),"G")</f>
        <v>G</v>
      </c>
      <c r="E1061" s="189" t="str">
        <f ca="1">IFERROR(__xludf.DUMMYFUNCTION("""COMPUTED_VALUE"""),"F")</f>
        <v>F</v>
      </c>
      <c r="F1061" s="189" t="str">
        <f ca="1">IFERROR(__xludf.DUMMYFUNCTION("""COMPUTED_VALUE"""),"J")</f>
        <v>J</v>
      </c>
      <c r="G1061" s="189">
        <f ca="1">IFERROR(__xludf.DUMMYFUNCTION("""COMPUTED_VALUE"""),3)</f>
        <v>3</v>
      </c>
      <c r="H1061" s="196"/>
      <c r="I1061" s="196"/>
      <c r="J1061" s="196"/>
      <c r="K1061" s="196"/>
      <c r="L1061" s="196" t="str">
        <v/>
      </c>
      <c r="M1061" s="196"/>
    </row>
    <row r="1062" spans="1:13" ht="14.4" x14ac:dyDescent="0.3">
      <c r="A1062" s="189" t="str">
        <f ca="1">IFERROR(__xludf.DUMMYFUNCTION("""COMPUTED_VALUE"""),"LG")</f>
        <v>LG</v>
      </c>
      <c r="B1062" s="195" t="str">
        <f ca="1">IFERROR(__xludf.DUMMYFUNCTION("""COMPUTED_VALUE"""),"Deacon Tuss")</f>
        <v>Deacon Tuss</v>
      </c>
      <c r="C1062" s="189">
        <f ca="1">IFERROR(__xludf.DUMMYFUNCTION("""COMPUTED_VALUE"""),7)</f>
        <v>7</v>
      </c>
      <c r="D1062" s="189" t="str">
        <f ca="1">IFERROR(__xludf.DUMMYFUNCTION("""COMPUTED_VALUE"""),"B")</f>
        <v>B</v>
      </c>
      <c r="E1062" s="189" t="str">
        <f ca="1">IFERROR(__xludf.DUMMYFUNCTION("""COMPUTED_VALUE"""),"F")</f>
        <v>F</v>
      </c>
      <c r="F1062" s="189" t="str">
        <f ca="1">IFERROR(__xludf.DUMMYFUNCTION("""COMPUTED_VALUE"""),"J")</f>
        <v>J</v>
      </c>
      <c r="G1062" s="189">
        <f ca="1">IFERROR(__xludf.DUMMYFUNCTION("""COMPUTED_VALUE"""),3)</f>
        <v>3</v>
      </c>
      <c r="H1062" s="196"/>
      <c r="I1062" s="196"/>
      <c r="J1062" s="196"/>
      <c r="K1062" s="196"/>
      <c r="L1062" s="196" t="str">
        <v/>
      </c>
      <c r="M1062" s="196"/>
    </row>
    <row r="1063" spans="1:13" ht="14.4" x14ac:dyDescent="0.3">
      <c r="A1063" s="189" t="str">
        <f ca="1">IFERROR(__xludf.DUMMYFUNCTION("""COMPUTED_VALUE"""),"LG")</f>
        <v>LG</v>
      </c>
      <c r="B1063" s="195" t="str">
        <f ca="1">IFERROR(__xludf.DUMMYFUNCTION("""COMPUTED_VALUE"""),"Kai Cannon")</f>
        <v>Kai Cannon</v>
      </c>
      <c r="C1063" s="189">
        <f ca="1">IFERROR(__xludf.DUMMYFUNCTION("""COMPUTED_VALUE"""),9)</f>
        <v>9</v>
      </c>
      <c r="D1063" s="189" t="str">
        <f ca="1">IFERROR(__xludf.DUMMYFUNCTION("""COMPUTED_VALUE"""),"B")</f>
        <v>B</v>
      </c>
      <c r="E1063" s="189" t="str">
        <f ca="1">IFERROR(__xludf.DUMMYFUNCTION("""COMPUTED_VALUE"""),"F")</f>
        <v>F</v>
      </c>
      <c r="F1063" s="189" t="str">
        <f ca="1">IFERROR(__xludf.DUMMYFUNCTION("""COMPUTED_VALUE"""),"J")</f>
        <v>J</v>
      </c>
      <c r="G1063" s="189">
        <f ca="1">IFERROR(__xludf.DUMMYFUNCTION("""COMPUTED_VALUE"""),3)</f>
        <v>3</v>
      </c>
      <c r="H1063" s="196"/>
      <c r="I1063" s="196"/>
      <c r="J1063" s="196"/>
      <c r="K1063" s="196"/>
      <c r="L1063" s="196" t="str">
        <v/>
      </c>
      <c r="M1063" s="196"/>
    </row>
    <row r="1064" spans="1:13" ht="14.4" x14ac:dyDescent="0.3">
      <c r="A1064" s="189" t="str">
        <f ca="1">IFERROR(__xludf.DUMMYFUNCTION("""COMPUTED_VALUE"""),"LG")</f>
        <v>LG</v>
      </c>
      <c r="B1064" s="195" t="str">
        <f ca="1">IFERROR(__xludf.DUMMYFUNCTION("""COMPUTED_VALUE"""),"Lincoln Wade")</f>
        <v>Lincoln Wade</v>
      </c>
      <c r="C1064" s="189">
        <f ca="1">IFERROR(__xludf.DUMMYFUNCTION("""COMPUTED_VALUE"""),7)</f>
        <v>7</v>
      </c>
      <c r="D1064" s="189" t="str">
        <f ca="1">IFERROR(__xludf.DUMMYFUNCTION("""COMPUTED_VALUE"""),"B")</f>
        <v>B</v>
      </c>
      <c r="E1064" s="189" t="str">
        <f ca="1">IFERROR(__xludf.DUMMYFUNCTION("""COMPUTED_VALUE"""),"F")</f>
        <v>F</v>
      </c>
      <c r="F1064" s="189" t="str">
        <f ca="1">IFERROR(__xludf.DUMMYFUNCTION("""COMPUTED_VALUE"""),"J")</f>
        <v>J</v>
      </c>
      <c r="G1064" s="189">
        <f ca="1">IFERROR(__xludf.DUMMYFUNCTION("""COMPUTED_VALUE"""),3)</f>
        <v>3</v>
      </c>
      <c r="H1064" s="196"/>
      <c r="I1064" s="196"/>
      <c r="J1064" s="196"/>
      <c r="K1064" s="196"/>
      <c r="L1064" s="196" t="str">
        <v/>
      </c>
      <c r="M1064" s="196"/>
    </row>
    <row r="1065" spans="1:13" ht="14.4" x14ac:dyDescent="0.3">
      <c r="A1065" s="189" t="str">
        <f ca="1">IFERROR(__xludf.DUMMYFUNCTION("""COMPUTED_VALUE"""),"LG")</f>
        <v>LG</v>
      </c>
      <c r="B1065" s="195" t="str">
        <f ca="1">IFERROR(__xludf.DUMMYFUNCTION("""COMPUTED_VALUE"""),"Luka Dodd")</f>
        <v>Luka Dodd</v>
      </c>
      <c r="C1065" s="189">
        <f ca="1">IFERROR(__xludf.DUMMYFUNCTION("""COMPUTED_VALUE"""),9)</f>
        <v>9</v>
      </c>
      <c r="D1065" s="189" t="str">
        <f ca="1">IFERROR(__xludf.DUMMYFUNCTION("""COMPUTED_VALUE"""),"B")</f>
        <v>B</v>
      </c>
      <c r="E1065" s="189" t="str">
        <f ca="1">IFERROR(__xludf.DUMMYFUNCTION("""COMPUTED_VALUE"""),"F")</f>
        <v>F</v>
      </c>
      <c r="F1065" s="189" t="str">
        <f ca="1">IFERROR(__xludf.DUMMYFUNCTION("""COMPUTED_VALUE"""),"J")</f>
        <v>J</v>
      </c>
      <c r="G1065" s="189">
        <f ca="1">IFERROR(__xludf.DUMMYFUNCTION("""COMPUTED_VALUE"""),3)</f>
        <v>3</v>
      </c>
      <c r="H1065" s="196" t="s">
        <v>449</v>
      </c>
      <c r="I1065" s="196"/>
      <c r="J1065" s="196" t="s">
        <v>29</v>
      </c>
      <c r="K1065" s="196"/>
      <c r="L1065" s="196" t="str">
        <v xml:space="preserve"> 16.80</v>
      </c>
      <c r="M1065" s="196"/>
    </row>
    <row r="1066" spans="1:13" ht="14.4" x14ac:dyDescent="0.3">
      <c r="A1066" s="189" t="str">
        <f ca="1">IFERROR(__xludf.DUMMYFUNCTION("""COMPUTED_VALUE"""),"LG")</f>
        <v>LG</v>
      </c>
      <c r="B1066" s="195" t="str">
        <f ca="1">IFERROR(__xludf.DUMMYFUNCTION("""COMPUTED_VALUE"""),"Mac McGeorge")</f>
        <v>Mac McGeorge</v>
      </c>
      <c r="C1066" s="189">
        <f ca="1">IFERROR(__xludf.DUMMYFUNCTION("""COMPUTED_VALUE"""),9)</f>
        <v>9</v>
      </c>
      <c r="D1066" s="189" t="str">
        <f ca="1">IFERROR(__xludf.DUMMYFUNCTION("""COMPUTED_VALUE"""),"B")</f>
        <v>B</v>
      </c>
      <c r="E1066" s="189" t="str">
        <f ca="1">IFERROR(__xludf.DUMMYFUNCTION("""COMPUTED_VALUE"""),"F")</f>
        <v>F</v>
      </c>
      <c r="F1066" s="189" t="str">
        <f ca="1">IFERROR(__xludf.DUMMYFUNCTION("""COMPUTED_VALUE"""),"J")</f>
        <v>J</v>
      </c>
      <c r="G1066" s="189">
        <f ca="1">IFERROR(__xludf.DUMMYFUNCTION("""COMPUTED_VALUE"""),3)</f>
        <v>3</v>
      </c>
      <c r="H1066" s="196"/>
      <c r="I1066" s="196"/>
      <c r="J1066" s="196"/>
      <c r="K1066" s="196"/>
      <c r="L1066" s="196" t="str">
        <v/>
      </c>
      <c r="M1066" s="196"/>
    </row>
    <row r="1067" spans="1:13" ht="14.4" x14ac:dyDescent="0.3">
      <c r="A1067" s="189" t="str">
        <f ca="1">IFERROR(__xludf.DUMMYFUNCTION("""COMPUTED_VALUE"""),"LG")</f>
        <v>LG</v>
      </c>
      <c r="B1067" s="195" t="str">
        <f ca="1">IFERROR(__xludf.DUMMYFUNCTION("""COMPUTED_VALUE"""),"Oliver Conole")</f>
        <v>Oliver Conole</v>
      </c>
      <c r="C1067" s="189">
        <f ca="1">IFERROR(__xludf.DUMMYFUNCTION("""COMPUTED_VALUE"""),10)</f>
        <v>10</v>
      </c>
      <c r="D1067" s="189" t="str">
        <f ca="1">IFERROR(__xludf.DUMMYFUNCTION("""COMPUTED_VALUE"""),"B")</f>
        <v>B</v>
      </c>
      <c r="E1067" s="189" t="str">
        <f ca="1">IFERROR(__xludf.DUMMYFUNCTION("""COMPUTED_VALUE"""),"F")</f>
        <v>F</v>
      </c>
      <c r="F1067" s="189" t="str">
        <f ca="1">IFERROR(__xludf.DUMMYFUNCTION("""COMPUTED_VALUE"""),"J")</f>
        <v>J</v>
      </c>
      <c r="G1067" s="189">
        <f ca="1">IFERROR(__xludf.DUMMYFUNCTION("""COMPUTED_VALUE"""),3)</f>
        <v>3</v>
      </c>
      <c r="H1067" s="196"/>
      <c r="I1067" s="196"/>
      <c r="J1067" s="196"/>
      <c r="K1067" s="196"/>
      <c r="L1067" s="196" t="str">
        <v/>
      </c>
      <c r="M1067" s="196"/>
    </row>
    <row r="1068" spans="1:13" ht="14.4" x14ac:dyDescent="0.3">
      <c r="A1068" s="189" t="str">
        <f ca="1">IFERROR(__xludf.DUMMYFUNCTION("""COMPUTED_VALUE"""),"LG")</f>
        <v>LG</v>
      </c>
      <c r="B1068" s="195" t="str">
        <f ca="1">IFERROR(__xludf.DUMMYFUNCTION("""COMPUTED_VALUE"""),"Patrick Swatt")</f>
        <v>Patrick Swatt</v>
      </c>
      <c r="C1068" s="189">
        <f ca="1">IFERROR(__xludf.DUMMYFUNCTION("""COMPUTED_VALUE"""),7)</f>
        <v>7</v>
      </c>
      <c r="D1068" s="189" t="str">
        <f ca="1">IFERROR(__xludf.DUMMYFUNCTION("""COMPUTED_VALUE"""),"B")</f>
        <v>B</v>
      </c>
      <c r="E1068" s="189" t="str">
        <f ca="1">IFERROR(__xludf.DUMMYFUNCTION("""COMPUTED_VALUE"""),"F")</f>
        <v>F</v>
      </c>
      <c r="F1068" s="189" t="str">
        <f ca="1">IFERROR(__xludf.DUMMYFUNCTION("""COMPUTED_VALUE"""),"J")</f>
        <v>J</v>
      </c>
      <c r="G1068" s="189">
        <f ca="1">IFERROR(__xludf.DUMMYFUNCTION("""COMPUTED_VALUE"""),3)</f>
        <v>3</v>
      </c>
      <c r="H1068" s="196"/>
      <c r="I1068" s="196"/>
      <c r="J1068" s="196"/>
      <c r="K1068" s="196"/>
      <c r="L1068" s="196" t="str">
        <v/>
      </c>
      <c r="M1068" s="196"/>
    </row>
    <row r="1069" spans="1:13" ht="14.4" x14ac:dyDescent="0.3">
      <c r="A1069" s="189" t="str">
        <f ca="1">IFERROR(__xludf.DUMMYFUNCTION("""COMPUTED_VALUE"""),"LG")</f>
        <v>LG</v>
      </c>
      <c r="B1069" s="195" t="str">
        <f ca="1">IFERROR(__xludf.DUMMYFUNCTION("""COMPUTED_VALUE"""),"Remy Nicholson")</f>
        <v>Remy Nicholson</v>
      </c>
      <c r="C1069" s="189">
        <f ca="1">IFERROR(__xludf.DUMMYFUNCTION("""COMPUTED_VALUE"""),9)</f>
        <v>9</v>
      </c>
      <c r="D1069" s="189" t="str">
        <f ca="1">IFERROR(__xludf.DUMMYFUNCTION("""COMPUTED_VALUE"""),"B")</f>
        <v>B</v>
      </c>
      <c r="E1069" s="189" t="str">
        <f ca="1">IFERROR(__xludf.DUMMYFUNCTION("""COMPUTED_VALUE"""),"F")</f>
        <v>F</v>
      </c>
      <c r="F1069" s="189" t="str">
        <f ca="1">IFERROR(__xludf.DUMMYFUNCTION("""COMPUTED_VALUE"""),"J")</f>
        <v>J</v>
      </c>
      <c r="G1069" s="189">
        <f ca="1">IFERROR(__xludf.DUMMYFUNCTION("""COMPUTED_VALUE"""),3)</f>
        <v>3</v>
      </c>
      <c r="H1069" s="196" t="s">
        <v>450</v>
      </c>
      <c r="I1069" s="196"/>
      <c r="J1069" s="196" t="s">
        <v>29</v>
      </c>
      <c r="K1069" s="196"/>
      <c r="L1069" s="196" t="str">
        <v xml:space="preserve"> 44.95</v>
      </c>
      <c r="M1069" s="196"/>
    </row>
    <row r="1070" spans="1:13" ht="14.4" x14ac:dyDescent="0.3">
      <c r="A1070" s="189" t="str">
        <f ca="1">IFERROR(__xludf.DUMMYFUNCTION("""COMPUTED_VALUE"""),"LG")</f>
        <v>LG</v>
      </c>
      <c r="B1070" s="195" t="str">
        <f ca="1">IFERROR(__xludf.DUMMYFUNCTION("""COMPUTED_VALUE"""),"Ronan Gallagher")</f>
        <v>Ronan Gallagher</v>
      </c>
      <c r="C1070" s="189">
        <f ca="1">IFERROR(__xludf.DUMMYFUNCTION("""COMPUTED_VALUE"""),10)</f>
        <v>10</v>
      </c>
      <c r="D1070" s="189" t="str">
        <f ca="1">IFERROR(__xludf.DUMMYFUNCTION("""COMPUTED_VALUE"""),"B")</f>
        <v>B</v>
      </c>
      <c r="E1070" s="189" t="str">
        <f ca="1">IFERROR(__xludf.DUMMYFUNCTION("""COMPUTED_VALUE"""),"F")</f>
        <v>F</v>
      </c>
      <c r="F1070" s="189" t="str">
        <f ca="1">IFERROR(__xludf.DUMMYFUNCTION("""COMPUTED_VALUE"""),"J")</f>
        <v>J</v>
      </c>
      <c r="G1070" s="189">
        <f ca="1">IFERROR(__xludf.DUMMYFUNCTION("""COMPUTED_VALUE"""),3)</f>
        <v>3</v>
      </c>
      <c r="H1070" s="196" t="s">
        <v>228</v>
      </c>
      <c r="I1070" s="196"/>
      <c r="J1070" s="196" t="s">
        <v>29</v>
      </c>
      <c r="K1070" s="196"/>
      <c r="L1070" s="196" t="str">
        <v xml:space="preserve"> 37.60</v>
      </c>
      <c r="M1070" s="196"/>
    </row>
    <row r="1071" spans="1:13" ht="14.4" x14ac:dyDescent="0.3">
      <c r="A1071" s="189" t="str">
        <f ca="1">IFERROR(__xludf.DUMMYFUNCTION("""COMPUTED_VALUE"""),"LG")</f>
        <v>LG</v>
      </c>
      <c r="B1071" s="195" t="str">
        <f ca="1">IFERROR(__xludf.DUMMYFUNCTION("""COMPUTED_VALUE"""),"Timmy Verasin")</f>
        <v>Timmy Verasin</v>
      </c>
      <c r="C1071" s="189">
        <f ca="1">IFERROR(__xludf.DUMMYFUNCTION("""COMPUTED_VALUE"""),10)</f>
        <v>10</v>
      </c>
      <c r="D1071" s="189" t="str">
        <f ca="1">IFERROR(__xludf.DUMMYFUNCTION("""COMPUTED_VALUE"""),"B")</f>
        <v>B</v>
      </c>
      <c r="E1071" s="189" t="str">
        <f ca="1">IFERROR(__xludf.DUMMYFUNCTION("""COMPUTED_VALUE"""),"F")</f>
        <v>F</v>
      </c>
      <c r="F1071" s="189" t="str">
        <f ca="1">IFERROR(__xludf.DUMMYFUNCTION("""COMPUTED_VALUE"""),"J")</f>
        <v>J</v>
      </c>
      <c r="G1071" s="189">
        <f ca="1">IFERROR(__xludf.DUMMYFUNCTION("""COMPUTED_VALUE"""),3)</f>
        <v>3</v>
      </c>
      <c r="H1071" s="196"/>
      <c r="I1071" s="196"/>
      <c r="J1071" s="196"/>
      <c r="K1071" s="196"/>
      <c r="L1071" s="196" t="str">
        <v/>
      </c>
      <c r="M1071" s="196"/>
    </row>
    <row r="1072" spans="1:13" ht="14.4" x14ac:dyDescent="0.3">
      <c r="A1072" s="189" t="str">
        <f ca="1">IFERROR(__xludf.DUMMYFUNCTION("""COMPUTED_VALUE"""),"LG")</f>
        <v>LG</v>
      </c>
      <c r="B1072" s="195" t="str">
        <f ca="1">IFERROR(__xludf.DUMMYFUNCTION("""COMPUTED_VALUE"""),"Wesley Klousia")</f>
        <v>Wesley Klousia</v>
      </c>
      <c r="C1072" s="189">
        <f ca="1">IFERROR(__xludf.DUMMYFUNCTION("""COMPUTED_VALUE"""),8)</f>
        <v>8</v>
      </c>
      <c r="D1072" s="189" t="str">
        <f ca="1">IFERROR(__xludf.DUMMYFUNCTION("""COMPUTED_VALUE"""),"B")</f>
        <v>B</v>
      </c>
      <c r="E1072" s="189" t="str">
        <f ca="1">IFERROR(__xludf.DUMMYFUNCTION("""COMPUTED_VALUE"""),"F")</f>
        <v>F</v>
      </c>
      <c r="F1072" s="189" t="str">
        <f ca="1">IFERROR(__xludf.DUMMYFUNCTION("""COMPUTED_VALUE"""),"J")</f>
        <v>J</v>
      </c>
      <c r="G1072" s="189">
        <f ca="1">IFERROR(__xludf.DUMMYFUNCTION("""COMPUTED_VALUE"""),3)</f>
        <v>3</v>
      </c>
      <c r="H1072" s="196"/>
      <c r="I1072" s="196"/>
      <c r="J1072" s="196"/>
      <c r="K1072" s="196"/>
      <c r="L1072" s="196" t="str">
        <v/>
      </c>
      <c r="M1072" s="196"/>
    </row>
    <row r="1073" spans="1:13" ht="14.4" x14ac:dyDescent="0.3">
      <c r="A1073" s="189" t="str">
        <f ca="1">IFERROR(__xludf.DUMMYFUNCTION("""COMPUTED_VALUE"""),"LG")</f>
        <v>LG</v>
      </c>
      <c r="B1073" s="195" t="str">
        <f ca="1">IFERROR(__xludf.DUMMYFUNCTION("""COMPUTED_VALUE"""),"Wheeler Simoneaux")</f>
        <v>Wheeler Simoneaux</v>
      </c>
      <c r="C1073" s="189">
        <f ca="1">IFERROR(__xludf.DUMMYFUNCTION("""COMPUTED_VALUE"""),7)</f>
        <v>7</v>
      </c>
      <c r="D1073" s="189" t="str">
        <f ca="1">IFERROR(__xludf.DUMMYFUNCTION("""COMPUTED_VALUE"""),"B")</f>
        <v>B</v>
      </c>
      <c r="E1073" s="189" t="str">
        <f ca="1">IFERROR(__xludf.DUMMYFUNCTION("""COMPUTED_VALUE"""),"F")</f>
        <v>F</v>
      </c>
      <c r="F1073" s="189" t="str">
        <f ca="1">IFERROR(__xludf.DUMMYFUNCTION("""COMPUTED_VALUE"""),"J")</f>
        <v>J</v>
      </c>
      <c r="G1073" s="189">
        <f ca="1">IFERROR(__xludf.DUMMYFUNCTION("""COMPUTED_VALUE"""),3)</f>
        <v>3</v>
      </c>
      <c r="H1073" s="196"/>
      <c r="I1073" s="196"/>
      <c r="J1073" s="196"/>
      <c r="K1073" s="196"/>
      <c r="L1073" s="196" t="str">
        <v/>
      </c>
      <c r="M1073" s="196"/>
    </row>
    <row r="1074" spans="1:13" ht="14.4" x14ac:dyDescent="0.3">
      <c r="A1074" s="189" t="str">
        <f ca="1">IFERROR(__xludf.DUMMYFUNCTION("""COMPUTED_VALUE"""),"LG")</f>
        <v>LG</v>
      </c>
      <c r="B1074" s="195" t="str">
        <f ca="1">IFERROR(__xludf.DUMMYFUNCTION("""COMPUTED_VALUE"""),"Cora Brock")</f>
        <v>Cora Brock</v>
      </c>
      <c r="C1074" s="189">
        <f ca="1">IFERROR(__xludf.DUMMYFUNCTION("""COMPUTED_VALUE"""),13)</f>
        <v>13</v>
      </c>
      <c r="D1074" s="189" t="str">
        <f ca="1">IFERROR(__xludf.DUMMYFUNCTION("""COMPUTED_VALUE"""),"G")</f>
        <v>G</v>
      </c>
      <c r="E1074" s="189" t="str">
        <f ca="1">IFERROR(__xludf.DUMMYFUNCTION("""COMPUTED_VALUE"""),"I")</f>
        <v>I</v>
      </c>
      <c r="F1074" s="189" t="str">
        <f ca="1">IFERROR(__xludf.DUMMYFUNCTION("""COMPUTED_VALUE"""),"S")</f>
        <v>S</v>
      </c>
      <c r="G1074" s="189">
        <f ca="1">IFERROR(__xludf.DUMMYFUNCTION("""COMPUTED_VALUE"""),3)</f>
        <v>3</v>
      </c>
      <c r="H1074" s="196"/>
      <c r="I1074" s="196"/>
      <c r="J1074" s="196"/>
      <c r="K1074" s="196"/>
      <c r="L1074" s="196" t="str">
        <v/>
      </c>
      <c r="M1074" s="196"/>
    </row>
    <row r="1075" spans="1:13" ht="14.4" x14ac:dyDescent="0.3">
      <c r="A1075" s="189" t="str">
        <f ca="1">IFERROR(__xludf.DUMMYFUNCTION("""COMPUTED_VALUE"""),"LG")</f>
        <v>LG</v>
      </c>
      <c r="B1075" s="195" t="str">
        <f ca="1">IFERROR(__xludf.DUMMYFUNCTION("""COMPUTED_VALUE"""),"Maddie Allard")</f>
        <v>Maddie Allard</v>
      </c>
      <c r="C1075" s="189">
        <f ca="1">IFERROR(__xludf.DUMMYFUNCTION("""COMPUTED_VALUE"""),14)</f>
        <v>14</v>
      </c>
      <c r="D1075" s="189" t="str">
        <f ca="1">IFERROR(__xludf.DUMMYFUNCTION("""COMPUTED_VALUE"""),"G")</f>
        <v>G</v>
      </c>
      <c r="E1075" s="189" t="str">
        <f ca="1">IFERROR(__xludf.DUMMYFUNCTION("""COMPUTED_VALUE"""),"I")</f>
        <v>I</v>
      </c>
      <c r="F1075" s="189" t="str">
        <f ca="1">IFERROR(__xludf.DUMMYFUNCTION("""COMPUTED_VALUE"""),"S")</f>
        <v>S</v>
      </c>
      <c r="G1075" s="189">
        <f ca="1">IFERROR(__xludf.DUMMYFUNCTION("""COMPUTED_VALUE"""),3)</f>
        <v>3</v>
      </c>
      <c r="H1075" s="196" t="s">
        <v>451</v>
      </c>
      <c r="I1075" s="196"/>
      <c r="J1075" s="196" t="s">
        <v>29</v>
      </c>
      <c r="K1075" s="196"/>
      <c r="L1075" s="196" t="str">
        <v xml:space="preserve"> 104.45</v>
      </c>
      <c r="M1075" s="196"/>
    </row>
    <row r="1076" spans="1:13" ht="14.4" x14ac:dyDescent="0.3">
      <c r="A1076" s="189" t="str">
        <f ca="1">IFERROR(__xludf.DUMMYFUNCTION("""COMPUTED_VALUE"""),"LG")</f>
        <v>LG</v>
      </c>
      <c r="B1076" s="195" t="str">
        <f ca="1">IFERROR(__xludf.DUMMYFUNCTION("""COMPUTED_VALUE"""),"Malin Klousia")</f>
        <v>Malin Klousia</v>
      </c>
      <c r="C1076" s="189">
        <f ca="1">IFERROR(__xludf.DUMMYFUNCTION("""COMPUTED_VALUE"""),13)</f>
        <v>13</v>
      </c>
      <c r="D1076" s="189" t="str">
        <f ca="1">IFERROR(__xludf.DUMMYFUNCTION("""COMPUTED_VALUE"""),"G")</f>
        <v>G</v>
      </c>
      <c r="E1076" s="189" t="str">
        <f ca="1">IFERROR(__xludf.DUMMYFUNCTION("""COMPUTED_VALUE"""),"I")</f>
        <v>I</v>
      </c>
      <c r="F1076" s="189" t="str">
        <f ca="1">IFERROR(__xludf.DUMMYFUNCTION("""COMPUTED_VALUE"""),"S")</f>
        <v>S</v>
      </c>
      <c r="G1076" s="189">
        <f ca="1">IFERROR(__xludf.DUMMYFUNCTION("""COMPUTED_VALUE"""),3)</f>
        <v>3</v>
      </c>
      <c r="H1076" s="196"/>
      <c r="I1076" s="196"/>
      <c r="J1076" s="196"/>
      <c r="K1076" s="196"/>
      <c r="L1076" s="196" t="str">
        <v/>
      </c>
      <c r="M1076" s="196"/>
    </row>
    <row r="1077" spans="1:13" ht="14.4" x14ac:dyDescent="0.3">
      <c r="A1077" s="189" t="str">
        <f ca="1">IFERROR(__xludf.DUMMYFUNCTION("""COMPUTED_VALUE"""),"LG")</f>
        <v>LG</v>
      </c>
      <c r="B1077" s="195" t="str">
        <f ca="1">IFERROR(__xludf.DUMMYFUNCTION("""COMPUTED_VALUE"""),"Megan Kovachy")</f>
        <v>Megan Kovachy</v>
      </c>
      <c r="C1077" s="189">
        <f ca="1">IFERROR(__xludf.DUMMYFUNCTION("""COMPUTED_VALUE"""),14)</f>
        <v>14</v>
      </c>
      <c r="D1077" s="189" t="str">
        <f ca="1">IFERROR(__xludf.DUMMYFUNCTION("""COMPUTED_VALUE"""),"G")</f>
        <v>G</v>
      </c>
      <c r="E1077" s="189" t="str">
        <f ca="1">IFERROR(__xludf.DUMMYFUNCTION("""COMPUTED_VALUE"""),"I")</f>
        <v>I</v>
      </c>
      <c r="F1077" s="189" t="str">
        <f ca="1">IFERROR(__xludf.DUMMYFUNCTION("""COMPUTED_VALUE"""),"S")</f>
        <v>S</v>
      </c>
      <c r="G1077" s="189">
        <f ca="1">IFERROR(__xludf.DUMMYFUNCTION("""COMPUTED_VALUE"""),3)</f>
        <v>3</v>
      </c>
      <c r="H1077" s="196"/>
      <c r="I1077" s="196"/>
      <c r="J1077" s="196"/>
      <c r="K1077" s="196"/>
      <c r="L1077" s="196" t="str">
        <v/>
      </c>
      <c r="M1077" s="196"/>
    </row>
    <row r="1078" spans="1:13" ht="14.4" x14ac:dyDescent="0.3">
      <c r="A1078" s="189" t="str">
        <f ca="1">IFERROR(__xludf.DUMMYFUNCTION("""COMPUTED_VALUE"""),"LG")</f>
        <v>LG</v>
      </c>
      <c r="B1078" s="195" t="str">
        <f ca="1">IFERROR(__xludf.DUMMYFUNCTION("""COMPUTED_VALUE"""),"Sarah Banko")</f>
        <v>Sarah Banko</v>
      </c>
      <c r="C1078" s="189">
        <f ca="1">IFERROR(__xludf.DUMMYFUNCTION("""COMPUTED_VALUE"""),13)</f>
        <v>13</v>
      </c>
      <c r="D1078" s="189" t="str">
        <f ca="1">IFERROR(__xludf.DUMMYFUNCTION("""COMPUTED_VALUE"""),"G")</f>
        <v>G</v>
      </c>
      <c r="E1078" s="189" t="str">
        <f ca="1">IFERROR(__xludf.DUMMYFUNCTION("""COMPUTED_VALUE"""),"I")</f>
        <v>I</v>
      </c>
      <c r="F1078" s="189" t="str">
        <f ca="1">IFERROR(__xludf.DUMMYFUNCTION("""COMPUTED_VALUE"""),"S")</f>
        <v>S</v>
      </c>
      <c r="G1078" s="189">
        <f ca="1">IFERROR(__xludf.DUMMYFUNCTION("""COMPUTED_VALUE"""),3)</f>
        <v>3</v>
      </c>
      <c r="H1078" s="196"/>
      <c r="I1078" s="196"/>
      <c r="J1078" s="196"/>
      <c r="K1078" s="196"/>
      <c r="L1078" s="196" t="str">
        <v/>
      </c>
      <c r="M1078" s="196"/>
    </row>
    <row r="1079" spans="1:13" ht="14.4" x14ac:dyDescent="0.3">
      <c r="A1079" s="189" t="str">
        <f ca="1">IFERROR(__xludf.DUMMYFUNCTION("""COMPUTED_VALUE"""),"LG")</f>
        <v>LG</v>
      </c>
      <c r="B1079" s="195" t="str">
        <f ca="1">IFERROR(__xludf.DUMMYFUNCTION("""COMPUTED_VALUE"""),"Zoe Mar")</f>
        <v>Zoe Mar</v>
      </c>
      <c r="C1079" s="189">
        <f ca="1">IFERROR(__xludf.DUMMYFUNCTION("""COMPUTED_VALUE"""),14)</f>
        <v>14</v>
      </c>
      <c r="D1079" s="189" t="str">
        <f ca="1">IFERROR(__xludf.DUMMYFUNCTION("""COMPUTED_VALUE"""),"G")</f>
        <v>G</v>
      </c>
      <c r="E1079" s="189" t="str">
        <f ca="1">IFERROR(__xludf.DUMMYFUNCTION("""COMPUTED_VALUE"""),"I")</f>
        <v>I</v>
      </c>
      <c r="F1079" s="189" t="str">
        <f ca="1">IFERROR(__xludf.DUMMYFUNCTION("""COMPUTED_VALUE"""),"S")</f>
        <v>S</v>
      </c>
      <c r="G1079" s="189">
        <f ca="1">IFERROR(__xludf.DUMMYFUNCTION("""COMPUTED_VALUE"""),3)</f>
        <v>3</v>
      </c>
      <c r="H1079" s="196"/>
      <c r="I1079" s="196"/>
      <c r="J1079" s="196"/>
      <c r="K1079" s="196"/>
      <c r="L1079" s="196" t="str">
        <v/>
      </c>
      <c r="M1079" s="196"/>
    </row>
    <row r="1080" spans="1:13" ht="14.4" x14ac:dyDescent="0.3">
      <c r="A1080" s="189" t="str">
        <f ca="1">IFERROR(__xludf.DUMMYFUNCTION("""COMPUTED_VALUE"""),"LG")</f>
        <v>LG</v>
      </c>
      <c r="B1080" s="195" t="str">
        <f ca="1">IFERROR(__xludf.DUMMYFUNCTION("""COMPUTED_VALUE"""),"Oliver Engle")</f>
        <v>Oliver Engle</v>
      </c>
      <c r="C1080" s="189">
        <f ca="1">IFERROR(__xludf.DUMMYFUNCTION("""COMPUTED_VALUE"""),13)</f>
        <v>13</v>
      </c>
      <c r="D1080" s="189" t="str">
        <f ca="1">IFERROR(__xludf.DUMMYFUNCTION("""COMPUTED_VALUE"""),"B")</f>
        <v>B</v>
      </c>
      <c r="E1080" s="189" t="str">
        <f ca="1">IFERROR(__xludf.DUMMYFUNCTION("""COMPUTED_VALUE"""),"I")</f>
        <v>I</v>
      </c>
      <c r="F1080" s="189" t="str">
        <f ca="1">IFERROR(__xludf.DUMMYFUNCTION("""COMPUTED_VALUE"""),"S")</f>
        <v>S</v>
      </c>
      <c r="G1080" s="189">
        <f ca="1">IFERROR(__xludf.DUMMYFUNCTION("""COMPUTED_VALUE"""),3)</f>
        <v>3</v>
      </c>
      <c r="H1080" s="196"/>
      <c r="I1080" s="196"/>
      <c r="J1080" s="196"/>
      <c r="K1080" s="196"/>
      <c r="L1080" s="196" t="str">
        <v/>
      </c>
      <c r="M1080" s="196"/>
    </row>
    <row r="1081" spans="1:13" ht="14.4" x14ac:dyDescent="0.3">
      <c r="A1081" s="189" t="str">
        <f ca="1">IFERROR(__xludf.DUMMYFUNCTION("""COMPUTED_VALUE"""),"LG")</f>
        <v>LG</v>
      </c>
      <c r="B1081" s="195" t="str">
        <f ca="1">IFERROR(__xludf.DUMMYFUNCTION("""COMPUTED_VALUE"""),"Patrick Verasin")</f>
        <v>Patrick Verasin</v>
      </c>
      <c r="C1081" s="189">
        <f ca="1">IFERROR(__xludf.DUMMYFUNCTION("""COMPUTED_VALUE"""),13)</f>
        <v>13</v>
      </c>
      <c r="D1081" s="189" t="str">
        <f ca="1">IFERROR(__xludf.DUMMYFUNCTION("""COMPUTED_VALUE"""),"B")</f>
        <v>B</v>
      </c>
      <c r="E1081" s="189" t="str">
        <f ca="1">IFERROR(__xludf.DUMMYFUNCTION("""COMPUTED_VALUE"""),"I")</f>
        <v>I</v>
      </c>
      <c r="F1081" s="189" t="str">
        <f ca="1">IFERROR(__xludf.DUMMYFUNCTION("""COMPUTED_VALUE"""),"S")</f>
        <v>S</v>
      </c>
      <c r="G1081" s="189">
        <f ca="1">IFERROR(__xludf.DUMMYFUNCTION("""COMPUTED_VALUE"""),3)</f>
        <v>3</v>
      </c>
      <c r="H1081" s="196" t="s">
        <v>112</v>
      </c>
      <c r="I1081" s="196"/>
      <c r="J1081" s="196" t="s">
        <v>29</v>
      </c>
      <c r="K1081" s="196"/>
      <c r="L1081" s="196" t="str">
        <v xml:space="preserve"> 113.65</v>
      </c>
      <c r="M1081" s="196"/>
    </row>
    <row r="1082" spans="1:13" ht="14.4" x14ac:dyDescent="0.3">
      <c r="A1082" s="189" t="str">
        <f ca="1">IFERROR(__xludf.DUMMYFUNCTION("""COMPUTED_VALUE"""),"LG")</f>
        <v>LG</v>
      </c>
      <c r="B1082" s="195" t="str">
        <f ca="1">IFERROR(__xludf.DUMMYFUNCTION("""COMPUTED_VALUE"""),"Teddy Klousia")</f>
        <v>Teddy Klousia</v>
      </c>
      <c r="C1082" s="189">
        <f ca="1">IFERROR(__xludf.DUMMYFUNCTION("""COMPUTED_VALUE"""),13)</f>
        <v>13</v>
      </c>
      <c r="D1082" s="189" t="str">
        <f ca="1">IFERROR(__xludf.DUMMYFUNCTION("""COMPUTED_VALUE"""),"B")</f>
        <v>B</v>
      </c>
      <c r="E1082" s="189" t="str">
        <f ca="1">IFERROR(__xludf.DUMMYFUNCTION("""COMPUTED_VALUE"""),"I")</f>
        <v>I</v>
      </c>
      <c r="F1082" s="189" t="str">
        <f ca="1">IFERROR(__xludf.DUMMYFUNCTION("""COMPUTED_VALUE"""),"S")</f>
        <v>S</v>
      </c>
      <c r="G1082" s="189">
        <f ca="1">IFERROR(__xludf.DUMMYFUNCTION("""COMPUTED_VALUE"""),3)</f>
        <v>3</v>
      </c>
      <c r="H1082" s="196" t="s">
        <v>452</v>
      </c>
      <c r="I1082" s="196"/>
      <c r="J1082" s="196" t="s">
        <v>29</v>
      </c>
      <c r="K1082" s="196"/>
      <c r="L1082" s="196" t="str">
        <v xml:space="preserve"> 120.40</v>
      </c>
      <c r="M1082" s="196"/>
    </row>
    <row r="1083" spans="1:13" ht="14.4" x14ac:dyDescent="0.3">
      <c r="A1083" s="189" t="str">
        <f ca="1">IFERROR(__xludf.DUMMYFUNCTION("""COMPUTED_VALUE"""),"LG")</f>
        <v>LG</v>
      </c>
      <c r="B1083" s="195" t="str">
        <f ca="1">IFERROR(__xludf.DUMMYFUNCTION("""COMPUTED_VALUE"""),"Will Davis")</f>
        <v>Will Davis</v>
      </c>
      <c r="C1083" s="189">
        <f ca="1">IFERROR(__xludf.DUMMYFUNCTION("""COMPUTED_VALUE"""),13)</f>
        <v>13</v>
      </c>
      <c r="D1083" s="189" t="str">
        <f ca="1">IFERROR(__xludf.DUMMYFUNCTION("""COMPUTED_VALUE"""),"B")</f>
        <v>B</v>
      </c>
      <c r="E1083" s="189" t="str">
        <f ca="1">IFERROR(__xludf.DUMMYFUNCTION("""COMPUTED_VALUE"""),"I")</f>
        <v>I</v>
      </c>
      <c r="F1083" s="189" t="str">
        <f ca="1">IFERROR(__xludf.DUMMYFUNCTION("""COMPUTED_VALUE"""),"S")</f>
        <v>S</v>
      </c>
      <c r="G1083" s="189">
        <f ca="1">IFERROR(__xludf.DUMMYFUNCTION("""COMPUTED_VALUE"""),3)</f>
        <v>3</v>
      </c>
      <c r="H1083" s="196" t="s">
        <v>453</v>
      </c>
      <c r="I1083" s="196"/>
      <c r="J1083" s="196" t="s">
        <v>29</v>
      </c>
      <c r="K1083" s="196"/>
      <c r="L1083" s="196" t="str">
        <v xml:space="preserve"> 122.90</v>
      </c>
      <c r="M1083" s="196"/>
    </row>
    <row r="1084" spans="1:13" ht="14.4" x14ac:dyDescent="0.3">
      <c r="A1084" s="189" t="str">
        <f ca="1">IFERROR(__xludf.DUMMYFUNCTION("""COMPUTED_VALUE"""),"LG")</f>
        <v>LG</v>
      </c>
      <c r="B1084" s="195" t="str">
        <f ca="1">IFERROR(__xludf.DUMMYFUNCTION("""COMPUTED_VALUE"""),"Abigail Quint")</f>
        <v>Abigail Quint</v>
      </c>
      <c r="C1084" s="189">
        <f ca="1">IFERROR(__xludf.DUMMYFUNCTION("""COMPUTED_VALUE"""),11)</f>
        <v>11</v>
      </c>
      <c r="D1084" s="189" t="str">
        <f ca="1">IFERROR(__xludf.DUMMYFUNCTION("""COMPUTED_VALUE"""),"G")</f>
        <v>G</v>
      </c>
      <c r="E1084" s="189" t="str">
        <f ca="1">IFERROR(__xludf.DUMMYFUNCTION("""COMPUTED_VALUE"""),"J")</f>
        <v>J</v>
      </c>
      <c r="F1084" s="189" t="str">
        <f ca="1">IFERROR(__xludf.DUMMYFUNCTION("""COMPUTED_VALUE"""),"I")</f>
        <v>I</v>
      </c>
      <c r="G1084" s="189">
        <f ca="1">IFERROR(__xludf.DUMMYFUNCTION("""COMPUTED_VALUE"""),3)</f>
        <v>3</v>
      </c>
      <c r="H1084" s="196"/>
      <c r="I1084" s="196"/>
      <c r="J1084" s="196"/>
      <c r="K1084" s="196"/>
      <c r="L1084" s="196" t="str">
        <v/>
      </c>
      <c r="M1084" s="196"/>
    </row>
    <row r="1085" spans="1:13" ht="14.4" x14ac:dyDescent="0.3">
      <c r="A1085" s="189" t="str">
        <f ca="1">IFERROR(__xludf.DUMMYFUNCTION("""COMPUTED_VALUE"""),"LG")</f>
        <v>LG</v>
      </c>
      <c r="B1085" s="195" t="str">
        <f ca="1">IFERROR(__xludf.DUMMYFUNCTION("""COMPUTED_VALUE"""),"Annie Novotny")</f>
        <v>Annie Novotny</v>
      </c>
      <c r="C1085" s="189">
        <f ca="1">IFERROR(__xludf.DUMMYFUNCTION("""COMPUTED_VALUE"""),11)</f>
        <v>11</v>
      </c>
      <c r="D1085" s="189" t="str">
        <f ca="1">IFERROR(__xludf.DUMMYFUNCTION("""COMPUTED_VALUE"""),"G")</f>
        <v>G</v>
      </c>
      <c r="E1085" s="189" t="str">
        <f ca="1">IFERROR(__xludf.DUMMYFUNCTION("""COMPUTED_VALUE"""),"J")</f>
        <v>J</v>
      </c>
      <c r="F1085" s="189" t="str">
        <f ca="1">IFERROR(__xludf.DUMMYFUNCTION("""COMPUTED_VALUE"""),"I")</f>
        <v>I</v>
      </c>
      <c r="G1085" s="189">
        <f ca="1">IFERROR(__xludf.DUMMYFUNCTION("""COMPUTED_VALUE"""),3)</f>
        <v>3</v>
      </c>
      <c r="H1085" s="196"/>
      <c r="I1085" s="196"/>
      <c r="J1085" s="196"/>
      <c r="K1085" s="196"/>
      <c r="L1085" s="196" t="str">
        <v/>
      </c>
      <c r="M1085" s="196"/>
    </row>
    <row r="1086" spans="1:13" ht="14.4" x14ac:dyDescent="0.3">
      <c r="A1086" s="189" t="str">
        <f ca="1">IFERROR(__xludf.DUMMYFUNCTION("""COMPUTED_VALUE"""),"LG")</f>
        <v>LG</v>
      </c>
      <c r="B1086" s="195" t="str">
        <f ca="1">IFERROR(__xludf.DUMMYFUNCTION("""COMPUTED_VALUE"""),"Audrey McGeorge")</f>
        <v>Audrey McGeorge</v>
      </c>
      <c r="C1086" s="189">
        <f ca="1">IFERROR(__xludf.DUMMYFUNCTION("""COMPUTED_VALUE"""),12)</f>
        <v>12</v>
      </c>
      <c r="D1086" s="189" t="str">
        <f ca="1">IFERROR(__xludf.DUMMYFUNCTION("""COMPUTED_VALUE"""),"G")</f>
        <v>G</v>
      </c>
      <c r="E1086" s="189" t="str">
        <f ca="1">IFERROR(__xludf.DUMMYFUNCTION("""COMPUTED_VALUE"""),"J")</f>
        <v>J</v>
      </c>
      <c r="F1086" s="189" t="str">
        <f ca="1">IFERROR(__xludf.DUMMYFUNCTION("""COMPUTED_VALUE"""),"I")</f>
        <v>I</v>
      </c>
      <c r="G1086" s="189">
        <f ca="1">IFERROR(__xludf.DUMMYFUNCTION("""COMPUTED_VALUE"""),3)</f>
        <v>3</v>
      </c>
      <c r="H1086" s="196"/>
      <c r="I1086" s="196"/>
      <c r="J1086" s="196"/>
      <c r="K1086" s="196"/>
      <c r="L1086" s="196" t="str">
        <v/>
      </c>
      <c r="M1086" s="196"/>
    </row>
    <row r="1087" spans="1:13" ht="14.4" x14ac:dyDescent="0.3">
      <c r="A1087" s="189" t="str">
        <f ca="1">IFERROR(__xludf.DUMMYFUNCTION("""COMPUTED_VALUE"""),"LG")</f>
        <v>LG</v>
      </c>
      <c r="B1087" s="195" t="str">
        <f ca="1">IFERROR(__xludf.DUMMYFUNCTION("""COMPUTED_VALUE"""),"Avery Brown")</f>
        <v>Avery Brown</v>
      </c>
      <c r="C1087" s="189">
        <f ca="1">IFERROR(__xludf.DUMMYFUNCTION("""COMPUTED_VALUE"""),12)</f>
        <v>12</v>
      </c>
      <c r="D1087" s="189" t="str">
        <f ca="1">IFERROR(__xludf.DUMMYFUNCTION("""COMPUTED_VALUE"""),"G")</f>
        <v>G</v>
      </c>
      <c r="E1087" s="189" t="str">
        <f ca="1">IFERROR(__xludf.DUMMYFUNCTION("""COMPUTED_VALUE"""),"J")</f>
        <v>J</v>
      </c>
      <c r="F1087" s="189" t="str">
        <f ca="1">IFERROR(__xludf.DUMMYFUNCTION("""COMPUTED_VALUE"""),"I")</f>
        <v>I</v>
      </c>
      <c r="G1087" s="189">
        <f ca="1">IFERROR(__xludf.DUMMYFUNCTION("""COMPUTED_VALUE"""),3)</f>
        <v>3</v>
      </c>
      <c r="H1087" s="196"/>
      <c r="I1087" s="196"/>
      <c r="J1087" s="196"/>
      <c r="K1087" s="196"/>
      <c r="L1087" s="196" t="str">
        <v/>
      </c>
      <c r="M1087" s="196"/>
    </row>
    <row r="1088" spans="1:13" ht="14.4" x14ac:dyDescent="0.3">
      <c r="A1088" s="189" t="str">
        <f ca="1">IFERROR(__xludf.DUMMYFUNCTION("""COMPUTED_VALUE"""),"LG")</f>
        <v>LG</v>
      </c>
      <c r="B1088" s="195" t="str">
        <f ca="1">IFERROR(__xludf.DUMMYFUNCTION("""COMPUTED_VALUE"""),"Claire Gallagher")</f>
        <v>Claire Gallagher</v>
      </c>
      <c r="C1088" s="189">
        <f ca="1">IFERROR(__xludf.DUMMYFUNCTION("""COMPUTED_VALUE"""),11)</f>
        <v>11</v>
      </c>
      <c r="D1088" s="189" t="str">
        <f ca="1">IFERROR(__xludf.DUMMYFUNCTION("""COMPUTED_VALUE"""),"G")</f>
        <v>G</v>
      </c>
      <c r="E1088" s="189" t="str">
        <f ca="1">IFERROR(__xludf.DUMMYFUNCTION("""COMPUTED_VALUE"""),"J")</f>
        <v>J</v>
      </c>
      <c r="F1088" s="189" t="str">
        <f ca="1">IFERROR(__xludf.DUMMYFUNCTION("""COMPUTED_VALUE"""),"I")</f>
        <v>I</v>
      </c>
      <c r="G1088" s="189">
        <f ca="1">IFERROR(__xludf.DUMMYFUNCTION("""COMPUTED_VALUE"""),3)</f>
        <v>3</v>
      </c>
      <c r="H1088" s="196"/>
      <c r="I1088" s="196"/>
      <c r="J1088" s="196"/>
      <c r="K1088" s="196"/>
      <c r="L1088" s="196" t="str">
        <v/>
      </c>
      <c r="M1088" s="196"/>
    </row>
    <row r="1089" spans="1:13" ht="14.4" x14ac:dyDescent="0.3">
      <c r="A1089" s="189" t="str">
        <f ca="1">IFERROR(__xludf.DUMMYFUNCTION("""COMPUTED_VALUE"""),"LG")</f>
        <v>LG</v>
      </c>
      <c r="B1089" s="195" t="str">
        <f ca="1">IFERROR(__xludf.DUMMYFUNCTION("""COMPUTED_VALUE"""),"Evelyn Banko")</f>
        <v>Evelyn Banko</v>
      </c>
      <c r="C1089" s="189">
        <f ca="1">IFERROR(__xludf.DUMMYFUNCTION("""COMPUTED_VALUE"""),11)</f>
        <v>11</v>
      </c>
      <c r="D1089" s="189" t="str">
        <f ca="1">IFERROR(__xludf.DUMMYFUNCTION("""COMPUTED_VALUE"""),"G")</f>
        <v>G</v>
      </c>
      <c r="E1089" s="189" t="str">
        <f ca="1">IFERROR(__xludf.DUMMYFUNCTION("""COMPUTED_VALUE"""),"J")</f>
        <v>J</v>
      </c>
      <c r="F1089" s="189" t="str">
        <f ca="1">IFERROR(__xludf.DUMMYFUNCTION("""COMPUTED_VALUE"""),"I")</f>
        <v>I</v>
      </c>
      <c r="G1089" s="189">
        <f ca="1">IFERROR(__xludf.DUMMYFUNCTION("""COMPUTED_VALUE"""),3)</f>
        <v>3</v>
      </c>
      <c r="H1089" s="196"/>
      <c r="I1089" s="196"/>
      <c r="J1089" s="196"/>
      <c r="K1089" s="196"/>
      <c r="L1089" s="196" t="str">
        <v/>
      </c>
      <c r="M1089" s="196"/>
    </row>
    <row r="1090" spans="1:13" ht="14.4" x14ac:dyDescent="0.3">
      <c r="A1090" s="189" t="str">
        <f ca="1">IFERROR(__xludf.DUMMYFUNCTION("""COMPUTED_VALUE"""),"LG")</f>
        <v>LG</v>
      </c>
      <c r="B1090" s="195" t="str">
        <f ca="1">IFERROR(__xludf.DUMMYFUNCTION("""COMPUTED_VALUE"""),"Graham Nicholson")</f>
        <v>Graham Nicholson</v>
      </c>
      <c r="C1090" s="189">
        <f ca="1">IFERROR(__xludf.DUMMYFUNCTION("""COMPUTED_VALUE"""),11)</f>
        <v>11</v>
      </c>
      <c r="D1090" s="189" t="str">
        <f ca="1">IFERROR(__xludf.DUMMYFUNCTION("""COMPUTED_VALUE"""),"G")</f>
        <v>G</v>
      </c>
      <c r="E1090" s="189" t="str">
        <f ca="1">IFERROR(__xludf.DUMMYFUNCTION("""COMPUTED_VALUE"""),"J")</f>
        <v>J</v>
      </c>
      <c r="F1090" s="189" t="str">
        <f ca="1">IFERROR(__xludf.DUMMYFUNCTION("""COMPUTED_VALUE"""),"I")</f>
        <v>I</v>
      </c>
      <c r="G1090" s="189">
        <f ca="1">IFERROR(__xludf.DUMMYFUNCTION("""COMPUTED_VALUE"""),3)</f>
        <v>3</v>
      </c>
      <c r="H1090" s="196" t="s">
        <v>454</v>
      </c>
      <c r="I1090" s="196"/>
      <c r="J1090" s="196" t="s">
        <v>64</v>
      </c>
      <c r="K1090" s="196"/>
      <c r="L1090" s="196" t="str">
        <v xml:space="preserve"> -128.85</v>
      </c>
      <c r="M1090" s="196"/>
    </row>
    <row r="1091" spans="1:13" ht="14.4" x14ac:dyDescent="0.3">
      <c r="A1091" s="189" t="str">
        <f ca="1">IFERROR(__xludf.DUMMYFUNCTION("""COMPUTED_VALUE"""),"LG")</f>
        <v>LG</v>
      </c>
      <c r="B1091" s="195" t="str">
        <f ca="1">IFERROR(__xludf.DUMMYFUNCTION("""COMPUTED_VALUE"""),"Hannah Dho")</f>
        <v>Hannah Dho</v>
      </c>
      <c r="C1091" s="189">
        <f ca="1">IFERROR(__xludf.DUMMYFUNCTION("""COMPUTED_VALUE"""),12)</f>
        <v>12</v>
      </c>
      <c r="D1091" s="189" t="str">
        <f ca="1">IFERROR(__xludf.DUMMYFUNCTION("""COMPUTED_VALUE"""),"G")</f>
        <v>G</v>
      </c>
      <c r="E1091" s="189" t="str">
        <f ca="1">IFERROR(__xludf.DUMMYFUNCTION("""COMPUTED_VALUE"""),"J")</f>
        <v>J</v>
      </c>
      <c r="F1091" s="189" t="str">
        <f ca="1">IFERROR(__xludf.DUMMYFUNCTION("""COMPUTED_VALUE"""),"I")</f>
        <v>I</v>
      </c>
      <c r="G1091" s="189">
        <f ca="1">IFERROR(__xludf.DUMMYFUNCTION("""COMPUTED_VALUE"""),3)</f>
        <v>3</v>
      </c>
      <c r="H1091" s="196"/>
      <c r="I1091" s="196"/>
      <c r="J1091" s="196"/>
      <c r="K1091" s="196"/>
      <c r="L1091" s="196" t="str">
        <v/>
      </c>
      <c r="M1091" s="196"/>
    </row>
    <row r="1092" spans="1:13" ht="14.4" x14ac:dyDescent="0.3">
      <c r="A1092" s="189" t="str">
        <f ca="1">IFERROR(__xludf.DUMMYFUNCTION("""COMPUTED_VALUE"""),"LG")</f>
        <v>LG</v>
      </c>
      <c r="B1092" s="195" t="str">
        <f ca="1">IFERROR(__xludf.DUMMYFUNCTION("""COMPUTED_VALUE"""),"Jheeni Shah")</f>
        <v>Jheeni Shah</v>
      </c>
      <c r="C1092" s="189">
        <f ca="1">IFERROR(__xludf.DUMMYFUNCTION("""COMPUTED_VALUE"""),11)</f>
        <v>11</v>
      </c>
      <c r="D1092" s="189" t="str">
        <f ca="1">IFERROR(__xludf.DUMMYFUNCTION("""COMPUTED_VALUE"""),"G")</f>
        <v>G</v>
      </c>
      <c r="E1092" s="189" t="str">
        <f ca="1">IFERROR(__xludf.DUMMYFUNCTION("""COMPUTED_VALUE"""),"J")</f>
        <v>J</v>
      </c>
      <c r="F1092" s="189" t="str">
        <f ca="1">IFERROR(__xludf.DUMMYFUNCTION("""COMPUTED_VALUE"""),"I")</f>
        <v>I</v>
      </c>
      <c r="G1092" s="189">
        <f ca="1">IFERROR(__xludf.DUMMYFUNCTION("""COMPUTED_VALUE"""),3)</f>
        <v>3</v>
      </c>
      <c r="H1092" s="196"/>
      <c r="I1092" s="196"/>
      <c r="J1092" s="196"/>
      <c r="K1092" s="196"/>
      <c r="L1092" s="196" t="str">
        <v/>
      </c>
      <c r="M1092" s="196"/>
    </row>
    <row r="1093" spans="1:13" ht="14.4" x14ac:dyDescent="0.3">
      <c r="A1093" s="189" t="str">
        <f ca="1">IFERROR(__xludf.DUMMYFUNCTION("""COMPUTED_VALUE"""),"LG")</f>
        <v>LG</v>
      </c>
      <c r="B1093" s="195" t="str">
        <f ca="1">IFERROR(__xludf.DUMMYFUNCTION("""COMPUTED_VALUE"""),"Lelia Dodd")</f>
        <v>Lelia Dodd</v>
      </c>
      <c r="C1093" s="189">
        <f ca="1">IFERROR(__xludf.DUMMYFUNCTION("""COMPUTED_VALUE"""),12)</f>
        <v>12</v>
      </c>
      <c r="D1093" s="189" t="str">
        <f ca="1">IFERROR(__xludf.DUMMYFUNCTION("""COMPUTED_VALUE"""),"G")</f>
        <v>G</v>
      </c>
      <c r="E1093" s="189" t="str">
        <f ca="1">IFERROR(__xludf.DUMMYFUNCTION("""COMPUTED_VALUE"""),"J")</f>
        <v>J</v>
      </c>
      <c r="F1093" s="189" t="str">
        <f ca="1">IFERROR(__xludf.DUMMYFUNCTION("""COMPUTED_VALUE"""),"I")</f>
        <v>I</v>
      </c>
      <c r="G1093" s="189">
        <f ca="1">IFERROR(__xludf.DUMMYFUNCTION("""COMPUTED_VALUE"""),3)</f>
        <v>3</v>
      </c>
      <c r="H1093" s="196" t="s">
        <v>455</v>
      </c>
      <c r="I1093" s="196"/>
      <c r="J1093" s="196" t="s">
        <v>29</v>
      </c>
      <c r="K1093" s="196"/>
      <c r="L1093" s="196" t="str">
        <v xml:space="preserve"> 83.85</v>
      </c>
      <c r="M1093" s="196"/>
    </row>
    <row r="1094" spans="1:13" ht="14.4" x14ac:dyDescent="0.3">
      <c r="A1094" s="189" t="str">
        <f ca="1">IFERROR(__xludf.DUMMYFUNCTION("""COMPUTED_VALUE"""),"LG")</f>
        <v>LG</v>
      </c>
      <c r="B1094" s="195" t="str">
        <f ca="1">IFERROR(__xludf.DUMMYFUNCTION("""COMPUTED_VALUE"""),"Thea Conole")</f>
        <v>Thea Conole</v>
      </c>
      <c r="C1094" s="189">
        <f ca="1">IFERROR(__xludf.DUMMYFUNCTION("""COMPUTED_VALUE"""),12)</f>
        <v>12</v>
      </c>
      <c r="D1094" s="189" t="str">
        <f ca="1">IFERROR(__xludf.DUMMYFUNCTION("""COMPUTED_VALUE"""),"G")</f>
        <v>G</v>
      </c>
      <c r="E1094" s="189" t="str">
        <f ca="1">IFERROR(__xludf.DUMMYFUNCTION("""COMPUTED_VALUE"""),"J")</f>
        <v>J</v>
      </c>
      <c r="F1094" s="189" t="str">
        <f ca="1">IFERROR(__xludf.DUMMYFUNCTION("""COMPUTED_VALUE"""),"I")</f>
        <v>I</v>
      </c>
      <c r="G1094" s="189">
        <f ca="1">IFERROR(__xludf.DUMMYFUNCTION("""COMPUTED_VALUE"""),3)</f>
        <v>3</v>
      </c>
      <c r="H1094" s="196" t="s">
        <v>456</v>
      </c>
      <c r="I1094" s="196"/>
      <c r="J1094" s="196" t="s">
        <v>29</v>
      </c>
      <c r="K1094" s="196"/>
      <c r="L1094" s="196" t="str">
        <v xml:space="preserve"> 81.85</v>
      </c>
      <c r="M1094" s="196"/>
    </row>
    <row r="1095" spans="1:13" ht="14.4" x14ac:dyDescent="0.3">
      <c r="A1095" s="189" t="str">
        <f ca="1">IFERROR(__xludf.DUMMYFUNCTION("""COMPUTED_VALUE"""),"LG")</f>
        <v>LG</v>
      </c>
      <c r="B1095" s="195" t="str">
        <f ca="1">IFERROR(__xludf.DUMMYFUNCTION("""COMPUTED_VALUE"""),"Wren McCann")</f>
        <v>Wren McCann</v>
      </c>
      <c r="C1095" s="189">
        <f ca="1">IFERROR(__xludf.DUMMYFUNCTION("""COMPUTED_VALUE"""),11)</f>
        <v>11</v>
      </c>
      <c r="D1095" s="189" t="str">
        <f ca="1">IFERROR(__xludf.DUMMYFUNCTION("""COMPUTED_VALUE"""),"G")</f>
        <v>G</v>
      </c>
      <c r="E1095" s="189" t="str">
        <f ca="1">IFERROR(__xludf.DUMMYFUNCTION("""COMPUTED_VALUE"""),"J")</f>
        <v>J</v>
      </c>
      <c r="F1095" s="189" t="str">
        <f ca="1">IFERROR(__xludf.DUMMYFUNCTION("""COMPUTED_VALUE"""),"I")</f>
        <v>I</v>
      </c>
      <c r="G1095" s="189">
        <f ca="1">IFERROR(__xludf.DUMMYFUNCTION("""COMPUTED_VALUE"""),3)</f>
        <v>3</v>
      </c>
      <c r="H1095" s="196"/>
      <c r="I1095" s="196"/>
      <c r="J1095" s="196"/>
      <c r="K1095" s="196"/>
      <c r="L1095" s="196" t="str">
        <v/>
      </c>
      <c r="M1095" s="196"/>
    </row>
    <row r="1096" spans="1:13" ht="14.4" x14ac:dyDescent="0.3">
      <c r="A1096" s="189" t="str">
        <f ca="1">IFERROR(__xludf.DUMMYFUNCTION("""COMPUTED_VALUE"""),"LG")</f>
        <v>LG</v>
      </c>
      <c r="B1096" s="195" t="str">
        <f ca="1">IFERROR(__xludf.DUMMYFUNCTION("""COMPUTED_VALUE"""),"Keaton Allard")</f>
        <v>Keaton Allard</v>
      </c>
      <c r="C1096" s="189">
        <f ca="1">IFERROR(__xludf.DUMMYFUNCTION("""COMPUTED_VALUE"""),11)</f>
        <v>11</v>
      </c>
      <c r="D1096" s="189" t="str">
        <f ca="1">IFERROR(__xludf.DUMMYFUNCTION("""COMPUTED_VALUE"""),"B")</f>
        <v>B</v>
      </c>
      <c r="E1096" s="189" t="str">
        <f ca="1">IFERROR(__xludf.DUMMYFUNCTION("""COMPUTED_VALUE"""),"J")</f>
        <v>J</v>
      </c>
      <c r="F1096" s="189" t="str">
        <f ca="1">IFERROR(__xludf.DUMMYFUNCTION("""COMPUTED_VALUE"""),"I")</f>
        <v>I</v>
      </c>
      <c r="G1096" s="189">
        <f ca="1">IFERROR(__xludf.DUMMYFUNCTION("""COMPUTED_VALUE"""),3)</f>
        <v>3</v>
      </c>
      <c r="H1096" s="196" t="s">
        <v>457</v>
      </c>
      <c r="I1096" s="196"/>
      <c r="J1096" s="196" t="s">
        <v>29</v>
      </c>
      <c r="K1096" s="196"/>
      <c r="L1096" s="196" t="str">
        <v xml:space="preserve"> 98.20</v>
      </c>
      <c r="M1096" s="196"/>
    </row>
    <row r="1097" spans="1:13" ht="14.4" x14ac:dyDescent="0.3">
      <c r="A1097" s="189" t="str">
        <f ca="1">IFERROR(__xludf.DUMMYFUNCTION("""COMPUTED_VALUE"""),"LG")</f>
        <v>LG</v>
      </c>
      <c r="B1097" s="195" t="str">
        <f ca="1">IFERROR(__xludf.DUMMYFUNCTION("""COMPUTED_VALUE"""),"Landon Wade")</f>
        <v>Landon Wade</v>
      </c>
      <c r="C1097" s="189">
        <f ca="1">IFERROR(__xludf.DUMMYFUNCTION("""COMPUTED_VALUE"""),11)</f>
        <v>11</v>
      </c>
      <c r="D1097" s="189" t="str">
        <f ca="1">IFERROR(__xludf.DUMMYFUNCTION("""COMPUTED_VALUE"""),"B")</f>
        <v>B</v>
      </c>
      <c r="E1097" s="189" t="str">
        <f ca="1">IFERROR(__xludf.DUMMYFUNCTION("""COMPUTED_VALUE"""),"J")</f>
        <v>J</v>
      </c>
      <c r="F1097" s="189" t="str">
        <f ca="1">IFERROR(__xludf.DUMMYFUNCTION("""COMPUTED_VALUE"""),"I")</f>
        <v>I</v>
      </c>
      <c r="G1097" s="189">
        <f ca="1">IFERROR(__xludf.DUMMYFUNCTION("""COMPUTED_VALUE"""),3)</f>
        <v>3</v>
      </c>
      <c r="H1097" s="196"/>
      <c r="I1097" s="196"/>
      <c r="J1097" s="196"/>
      <c r="K1097" s="196"/>
      <c r="L1097" s="196" t="str">
        <v/>
      </c>
      <c r="M1097" s="196"/>
    </row>
    <row r="1098" spans="1:13" ht="14.4" x14ac:dyDescent="0.3">
      <c r="A1098" s="189" t="str">
        <f ca="1">IFERROR(__xludf.DUMMYFUNCTION("""COMPUTED_VALUE"""),"LG")</f>
        <v>LG</v>
      </c>
      <c r="B1098" s="195" t="str">
        <f ca="1">IFERROR(__xludf.DUMMYFUNCTION("""COMPUTED_VALUE"""),"Noah Buckman")</f>
        <v>Noah Buckman</v>
      </c>
      <c r="C1098" s="189">
        <f ca="1">IFERROR(__xludf.DUMMYFUNCTION("""COMPUTED_VALUE"""),11)</f>
        <v>11</v>
      </c>
      <c r="D1098" s="189" t="str">
        <f ca="1">IFERROR(__xludf.DUMMYFUNCTION("""COMPUTED_VALUE"""),"B")</f>
        <v>B</v>
      </c>
      <c r="E1098" s="189" t="str">
        <f ca="1">IFERROR(__xludf.DUMMYFUNCTION("""COMPUTED_VALUE"""),"J")</f>
        <v>J</v>
      </c>
      <c r="F1098" s="189" t="str">
        <f ca="1">IFERROR(__xludf.DUMMYFUNCTION("""COMPUTED_VALUE"""),"I")</f>
        <v>I</v>
      </c>
      <c r="G1098" s="189">
        <f ca="1">IFERROR(__xludf.DUMMYFUNCTION("""COMPUTED_VALUE"""),3)</f>
        <v>3</v>
      </c>
      <c r="H1098" s="196"/>
      <c r="I1098" s="196"/>
      <c r="J1098" s="196"/>
      <c r="K1098" s="196"/>
      <c r="L1098" s="196" t="str">
        <v/>
      </c>
      <c r="M1098" s="196"/>
    </row>
    <row r="1099" spans="1:13" ht="14.4" x14ac:dyDescent="0.3">
      <c r="A1099" s="189" t="str">
        <f ca="1">IFERROR(__xludf.DUMMYFUNCTION("""COMPUTED_VALUE"""),"LG")</f>
        <v>LG</v>
      </c>
      <c r="B1099" s="195" t="str">
        <f ca="1">IFERROR(__xludf.DUMMYFUNCTION("""COMPUTED_VALUE"""),"Park Hoffmann")</f>
        <v>Park Hoffmann</v>
      </c>
      <c r="C1099" s="189">
        <f ca="1">IFERROR(__xludf.DUMMYFUNCTION("""COMPUTED_VALUE"""),11)</f>
        <v>11</v>
      </c>
      <c r="D1099" s="189" t="str">
        <f ca="1">IFERROR(__xludf.DUMMYFUNCTION("""COMPUTED_VALUE"""),"B")</f>
        <v>B</v>
      </c>
      <c r="E1099" s="189" t="str">
        <f ca="1">IFERROR(__xludf.DUMMYFUNCTION("""COMPUTED_VALUE"""),"J")</f>
        <v>J</v>
      </c>
      <c r="F1099" s="189" t="str">
        <f ca="1">IFERROR(__xludf.DUMMYFUNCTION("""COMPUTED_VALUE"""),"I")</f>
        <v>I</v>
      </c>
      <c r="G1099" s="189">
        <f ca="1">IFERROR(__xludf.DUMMYFUNCTION("""COMPUTED_VALUE"""),3)</f>
        <v>3</v>
      </c>
      <c r="H1099" s="196" t="s">
        <v>237</v>
      </c>
      <c r="I1099" s="196"/>
      <c r="J1099" s="196" t="s">
        <v>29</v>
      </c>
      <c r="K1099" s="196"/>
      <c r="L1099" s="196" t="str">
        <v xml:space="preserve"> 73.20</v>
      </c>
      <c r="M1099" s="196"/>
    </row>
    <row r="1100" spans="1:13" ht="14.4" x14ac:dyDescent="0.3">
      <c r="A1100" s="189" t="str">
        <f ca="1">IFERROR(__xludf.DUMMYFUNCTION("""COMPUTED_VALUE"""),"LG")</f>
        <v>LG</v>
      </c>
      <c r="B1100" s="195" t="str">
        <f ca="1">IFERROR(__xludf.DUMMYFUNCTION("""COMPUTED_VALUE"""),"Reid Yeh")</f>
        <v>Reid Yeh</v>
      </c>
      <c r="C1100" s="189">
        <f ca="1">IFERROR(__xludf.DUMMYFUNCTION("""COMPUTED_VALUE"""),12)</f>
        <v>12</v>
      </c>
      <c r="D1100" s="189" t="str">
        <f ca="1">IFERROR(__xludf.DUMMYFUNCTION("""COMPUTED_VALUE"""),"B")</f>
        <v>B</v>
      </c>
      <c r="E1100" s="189" t="str">
        <f ca="1">IFERROR(__xludf.DUMMYFUNCTION("""COMPUTED_VALUE"""),"J")</f>
        <v>J</v>
      </c>
      <c r="F1100" s="189" t="str">
        <f ca="1">IFERROR(__xludf.DUMMYFUNCTION("""COMPUTED_VALUE"""),"I")</f>
        <v>I</v>
      </c>
      <c r="G1100" s="189">
        <f ca="1">IFERROR(__xludf.DUMMYFUNCTION("""COMPUTED_VALUE"""),3)</f>
        <v>3</v>
      </c>
      <c r="H1100" s="196" t="s">
        <v>458</v>
      </c>
      <c r="I1100" s="196"/>
      <c r="J1100" s="196" t="s">
        <v>29</v>
      </c>
      <c r="K1100" s="196"/>
      <c r="L1100" s="196" t="str">
        <v xml:space="preserve"> 70.55</v>
      </c>
      <c r="M1100" s="196"/>
    </row>
    <row r="1101" spans="1:13" ht="14.4" x14ac:dyDescent="0.3">
      <c r="A1101" s="189" t="str">
        <f ca="1">IFERROR(__xludf.DUMMYFUNCTION("""COMPUTED_VALUE"""),"LG")</f>
        <v>LG</v>
      </c>
      <c r="B1101" s="195" t="str">
        <f ca="1">IFERROR(__xludf.DUMMYFUNCTION("""COMPUTED_VALUE"""),"Vince Kidder")</f>
        <v>Vince Kidder</v>
      </c>
      <c r="C1101" s="189">
        <f ca="1">IFERROR(__xludf.DUMMYFUNCTION("""COMPUTED_VALUE"""),11)</f>
        <v>11</v>
      </c>
      <c r="D1101" s="189" t="str">
        <f ca="1">IFERROR(__xludf.DUMMYFUNCTION("""COMPUTED_VALUE"""),"B")</f>
        <v>B</v>
      </c>
      <c r="E1101" s="189" t="str">
        <f ca="1">IFERROR(__xludf.DUMMYFUNCTION("""COMPUTED_VALUE"""),"J")</f>
        <v>J</v>
      </c>
      <c r="F1101" s="189" t="str">
        <f ca="1">IFERROR(__xludf.DUMMYFUNCTION("""COMPUTED_VALUE"""),"I")</f>
        <v>I</v>
      </c>
      <c r="G1101" s="189">
        <f ca="1">IFERROR(__xludf.DUMMYFUNCTION("""COMPUTED_VALUE"""),3)</f>
        <v>3</v>
      </c>
      <c r="H1101" s="196"/>
      <c r="I1101" s="196"/>
      <c r="J1101" s="196"/>
      <c r="K1101" s="196"/>
      <c r="L1101" s="196" t="str">
        <v/>
      </c>
      <c r="M1101" s="196"/>
    </row>
    <row r="1102" spans="1:13" ht="14.4" x14ac:dyDescent="0.3">
      <c r="A1102" s="189" t="str">
        <f ca="1">IFERROR(__xludf.DUMMYFUNCTION("""COMPUTED_VALUE"""),"LG")</f>
        <v>LG</v>
      </c>
      <c r="B1102" s="195" t="str">
        <f ca="1">IFERROR(__xludf.DUMMYFUNCTION("""COMPUTED_VALUE"""),"Avalon Allard")</f>
        <v>Avalon Allard</v>
      </c>
      <c r="C1102" s="189">
        <f ca="1">IFERROR(__xludf.DUMMYFUNCTION("""COMPUTED_VALUE"""),16)</f>
        <v>16</v>
      </c>
      <c r="D1102" s="189" t="str">
        <f ca="1">IFERROR(__xludf.DUMMYFUNCTION("""COMPUTED_VALUE"""),"G")</f>
        <v>G</v>
      </c>
      <c r="E1102" s="189" t="str">
        <f ca="1">IFERROR(__xludf.DUMMYFUNCTION("""COMPUTED_VALUE"""),"S")</f>
        <v>S</v>
      </c>
      <c r="F1102" s="189" t="str">
        <f ca="1">IFERROR(__xludf.DUMMYFUNCTION("""COMPUTED_VALUE"""),"S")</f>
        <v>S</v>
      </c>
      <c r="G1102" s="189">
        <f ca="1">IFERROR(__xludf.DUMMYFUNCTION("""COMPUTED_VALUE"""),3)</f>
        <v>3</v>
      </c>
      <c r="H1102" s="196"/>
      <c r="I1102" s="196"/>
      <c r="J1102" s="196"/>
      <c r="K1102" s="196"/>
      <c r="L1102" s="196" t="str">
        <v/>
      </c>
      <c r="M1102" s="196"/>
    </row>
    <row r="1103" spans="1:13" ht="14.4" x14ac:dyDescent="0.3">
      <c r="A1103" s="189" t="str">
        <f ca="1">IFERROR(__xludf.DUMMYFUNCTION("""COMPUTED_VALUE"""),"LG")</f>
        <v>LG</v>
      </c>
      <c r="B1103" s="195" t="str">
        <f ca="1">IFERROR(__xludf.DUMMYFUNCTION("""COMPUTED_VALUE"""),"Madison Cervenak")</f>
        <v>Madison Cervenak</v>
      </c>
      <c r="C1103" s="189">
        <f ca="1">IFERROR(__xludf.DUMMYFUNCTION("""COMPUTED_VALUE"""),18)</f>
        <v>18</v>
      </c>
      <c r="D1103" s="189" t="str">
        <f ca="1">IFERROR(__xludf.DUMMYFUNCTION("""COMPUTED_VALUE"""),"G")</f>
        <v>G</v>
      </c>
      <c r="E1103" s="189" t="str">
        <f ca="1">IFERROR(__xludf.DUMMYFUNCTION("""COMPUTED_VALUE"""),"S")</f>
        <v>S</v>
      </c>
      <c r="F1103" s="189" t="str">
        <f ca="1">IFERROR(__xludf.DUMMYFUNCTION("""COMPUTED_VALUE"""),"S")</f>
        <v>S</v>
      </c>
      <c r="G1103" s="189">
        <f ca="1">IFERROR(__xludf.DUMMYFUNCTION("""COMPUTED_VALUE"""),3)</f>
        <v>3</v>
      </c>
      <c r="H1103" s="196" t="s">
        <v>242</v>
      </c>
      <c r="I1103" s="196"/>
      <c r="J1103" s="196" t="s">
        <v>29</v>
      </c>
      <c r="K1103" s="196"/>
      <c r="L1103" s="196" t="str">
        <v xml:space="preserve"> 206.35</v>
      </c>
      <c r="M1103" s="196"/>
    </row>
    <row r="1104" spans="1:13" ht="14.4" x14ac:dyDescent="0.3">
      <c r="A1104" s="189" t="str">
        <f ca="1">IFERROR(__xludf.DUMMYFUNCTION("""COMPUTED_VALUE"""),"LG")</f>
        <v>LG</v>
      </c>
      <c r="B1104" s="195" t="str">
        <f ca="1">IFERROR(__xludf.DUMMYFUNCTION("""COMPUTED_VALUE"""),"Reagan Cervenak")</f>
        <v>Reagan Cervenak</v>
      </c>
      <c r="C1104" s="189">
        <f ca="1">IFERROR(__xludf.DUMMYFUNCTION("""COMPUTED_VALUE"""),16)</f>
        <v>16</v>
      </c>
      <c r="D1104" s="189" t="str">
        <f ca="1">IFERROR(__xludf.DUMMYFUNCTION("""COMPUTED_VALUE"""),"G")</f>
        <v>G</v>
      </c>
      <c r="E1104" s="189" t="str">
        <f ca="1">IFERROR(__xludf.DUMMYFUNCTION("""COMPUTED_VALUE"""),"S")</f>
        <v>S</v>
      </c>
      <c r="F1104" s="189" t="str">
        <f ca="1">IFERROR(__xludf.DUMMYFUNCTION("""COMPUTED_VALUE"""),"S")</f>
        <v>S</v>
      </c>
      <c r="G1104" s="189">
        <f ca="1">IFERROR(__xludf.DUMMYFUNCTION("""COMPUTED_VALUE"""),3)</f>
        <v>3</v>
      </c>
      <c r="H1104" s="196" t="s">
        <v>459</v>
      </c>
      <c r="I1104" s="196"/>
      <c r="J1104" s="196" t="s">
        <v>29</v>
      </c>
      <c r="K1104" s="196"/>
      <c r="L1104" s="196" t="str">
        <v xml:space="preserve"> 178.00</v>
      </c>
      <c r="M1104" s="196"/>
    </row>
    <row r="1105" spans="1:13" ht="14.4" x14ac:dyDescent="0.3">
      <c r="A1105" s="189" t="str">
        <f ca="1">IFERROR(__xludf.DUMMYFUNCTION("""COMPUTED_VALUE"""),"LG")</f>
        <v>LG</v>
      </c>
      <c r="B1105" s="195" t="str">
        <f ca="1">IFERROR(__xludf.DUMMYFUNCTION("""COMPUTED_VALUE"""),"Alex Way")</f>
        <v>Alex Way</v>
      </c>
      <c r="C1105" s="189">
        <f ca="1">IFERROR(__xludf.DUMMYFUNCTION("""COMPUTED_VALUE"""),17)</f>
        <v>17</v>
      </c>
      <c r="D1105" s="189" t="str">
        <f ca="1">IFERROR(__xludf.DUMMYFUNCTION("""COMPUTED_VALUE"""),"B")</f>
        <v>B</v>
      </c>
      <c r="E1105" s="189" t="str">
        <f ca="1">IFERROR(__xludf.DUMMYFUNCTION("""COMPUTED_VALUE"""),"S")</f>
        <v>S</v>
      </c>
      <c r="F1105" s="189" t="str">
        <f ca="1">IFERROR(__xludf.DUMMYFUNCTION("""COMPUTED_VALUE"""),"S")</f>
        <v>S</v>
      </c>
      <c r="G1105" s="189">
        <f ca="1">IFERROR(__xludf.DUMMYFUNCTION("""COMPUTED_VALUE"""),3)</f>
        <v>3</v>
      </c>
      <c r="H1105" s="196" t="s">
        <v>460</v>
      </c>
      <c r="I1105" s="196"/>
      <c r="J1105" s="196" t="s">
        <v>29</v>
      </c>
      <c r="K1105" s="196"/>
      <c r="L1105" s="196" t="str">
        <v xml:space="preserve"> 281.55</v>
      </c>
      <c r="M1105" s="196"/>
    </row>
    <row r="1106" spans="1:13" ht="14.4" x14ac:dyDescent="0.3">
      <c r="A1106" s="189" t="str">
        <f ca="1">IFERROR(__xludf.DUMMYFUNCTION("""COMPUTED_VALUE"""),"LG")</f>
        <v>LG</v>
      </c>
      <c r="B1106" s="195" t="str">
        <f ca="1">IFERROR(__xludf.DUMMYFUNCTION("""COMPUTED_VALUE"""),"Edan Thornton")</f>
        <v>Edan Thornton</v>
      </c>
      <c r="C1106" s="189">
        <f ca="1">IFERROR(__xludf.DUMMYFUNCTION("""COMPUTED_VALUE"""),15)</f>
        <v>15</v>
      </c>
      <c r="D1106" s="189" t="str">
        <f ca="1">IFERROR(__xludf.DUMMYFUNCTION("""COMPUTED_VALUE"""),"B")</f>
        <v>B</v>
      </c>
      <c r="E1106" s="189" t="str">
        <f ca="1">IFERROR(__xludf.DUMMYFUNCTION("""COMPUTED_VALUE"""),"S")</f>
        <v>S</v>
      </c>
      <c r="F1106" s="189" t="str">
        <f ca="1">IFERROR(__xludf.DUMMYFUNCTION("""COMPUTED_VALUE"""),"S")</f>
        <v>S</v>
      </c>
      <c r="G1106" s="189">
        <f ca="1">IFERROR(__xludf.DUMMYFUNCTION("""COMPUTED_VALUE"""),3)</f>
        <v>3</v>
      </c>
      <c r="H1106" s="196" t="s">
        <v>461</v>
      </c>
      <c r="I1106" s="196"/>
      <c r="J1106" s="196" t="s">
        <v>29</v>
      </c>
      <c r="K1106" s="196"/>
      <c r="L1106" s="196" t="str">
        <v xml:space="preserve"> 159.95</v>
      </c>
      <c r="M1106" s="196"/>
    </row>
    <row r="1107" spans="1:13" ht="14.4" x14ac:dyDescent="0.3">
      <c r="A1107" s="189" t="str">
        <f ca="1">IFERROR(__xludf.DUMMYFUNCTION("""COMPUTED_VALUE"""),"LG")</f>
        <v>LG</v>
      </c>
      <c r="B1107" s="195" t="str">
        <f ca="1">IFERROR(__xludf.DUMMYFUNCTION("""COMPUTED_VALUE"""),"Kellen Colevas")</f>
        <v>Kellen Colevas</v>
      </c>
      <c r="C1107" s="189">
        <f ca="1">IFERROR(__xludf.DUMMYFUNCTION("""COMPUTED_VALUE"""),16)</f>
        <v>16</v>
      </c>
      <c r="D1107" s="189" t="str">
        <f ca="1">IFERROR(__xludf.DUMMYFUNCTION("""COMPUTED_VALUE"""),"B")</f>
        <v>B</v>
      </c>
      <c r="E1107" s="189" t="str">
        <f ca="1">IFERROR(__xludf.DUMMYFUNCTION("""COMPUTED_VALUE"""),"S")</f>
        <v>S</v>
      </c>
      <c r="F1107" s="189" t="str">
        <f ca="1">IFERROR(__xludf.DUMMYFUNCTION("""COMPUTED_VALUE"""),"S")</f>
        <v>S</v>
      </c>
      <c r="G1107" s="189">
        <f ca="1">IFERROR(__xludf.DUMMYFUNCTION("""COMPUTED_VALUE"""),3)</f>
        <v>3</v>
      </c>
      <c r="H1107" s="196" t="s">
        <v>462</v>
      </c>
      <c r="I1107" s="196"/>
      <c r="J1107" s="196" t="s">
        <v>29</v>
      </c>
      <c r="K1107" s="196"/>
      <c r="L1107" s="196" t="str">
        <v xml:space="preserve"> 238.40</v>
      </c>
      <c r="M1107" s="196"/>
    </row>
    <row r="1108" spans="1:13" ht="14.4" x14ac:dyDescent="0.3">
      <c r="A1108" s="189" t="str">
        <f ca="1">IFERROR(__xludf.DUMMYFUNCTION("""COMPUTED_VALUE"""),"LG")</f>
        <v>LG</v>
      </c>
      <c r="B1108" s="195" t="str">
        <f ca="1">IFERROR(__xludf.DUMMYFUNCTION("""COMPUTED_VALUE"""),"Kevin Colevas")</f>
        <v>Kevin Colevas</v>
      </c>
      <c r="C1108" s="189">
        <f ca="1">IFERROR(__xludf.DUMMYFUNCTION("""COMPUTED_VALUE"""),16)</f>
        <v>16</v>
      </c>
      <c r="D1108" s="189" t="str">
        <f ca="1">IFERROR(__xludf.DUMMYFUNCTION("""COMPUTED_VALUE"""),"B")</f>
        <v>B</v>
      </c>
      <c r="E1108" s="189" t="str">
        <f ca="1">IFERROR(__xludf.DUMMYFUNCTION("""COMPUTED_VALUE"""),"S")</f>
        <v>S</v>
      </c>
      <c r="F1108" s="189" t="str">
        <f ca="1">IFERROR(__xludf.DUMMYFUNCTION("""COMPUTED_VALUE"""),"S")</f>
        <v>S</v>
      </c>
      <c r="G1108" s="189">
        <f ca="1">IFERROR(__xludf.DUMMYFUNCTION("""COMPUTED_VALUE"""),3)</f>
        <v>3</v>
      </c>
      <c r="H1108" s="196"/>
      <c r="I1108" s="196"/>
      <c r="J1108" s="196"/>
      <c r="K1108" s="196"/>
      <c r="L1108" s="196" t="str">
        <v/>
      </c>
      <c r="M1108" s="196"/>
    </row>
    <row r="1109" spans="1:13" ht="14.4" x14ac:dyDescent="0.3">
      <c r="A1109" s="189" t="str">
        <f ca="1">IFERROR(__xludf.DUMMYFUNCTION("""COMPUTED_VALUE"""),"LV")</f>
        <v>LV</v>
      </c>
      <c r="B1109" s="195" t="str">
        <f ca="1">IFERROR(__xludf.DUMMYFUNCTION("""COMPUTED_VALUE"""),"Addy Andresen")</f>
        <v>Addy Andresen</v>
      </c>
      <c r="C1109" s="189">
        <f ca="1">IFERROR(__xludf.DUMMYFUNCTION("""COMPUTED_VALUE"""),8)</f>
        <v>8</v>
      </c>
      <c r="D1109" s="189" t="str">
        <f ca="1">IFERROR(__xludf.DUMMYFUNCTION("""COMPUTED_VALUE"""),"G")</f>
        <v>G</v>
      </c>
      <c r="E1109" s="189" t="str">
        <f ca="1">IFERROR(__xludf.DUMMYFUNCTION("""COMPUTED_VALUE"""),"F")</f>
        <v>F</v>
      </c>
      <c r="F1109" s="189" t="str">
        <f ca="1">IFERROR(__xludf.DUMMYFUNCTION("""COMPUTED_VALUE"""),"J")</f>
        <v>J</v>
      </c>
      <c r="G1109" s="189">
        <f ca="1">IFERROR(__xludf.DUMMYFUNCTION("""COMPUTED_VALUE"""),5)</f>
        <v>5</v>
      </c>
      <c r="H1109" s="196" t="s">
        <v>463</v>
      </c>
      <c r="I1109" s="196"/>
      <c r="J1109" s="196" t="s">
        <v>29</v>
      </c>
      <c r="K1109" s="196"/>
      <c r="L1109" s="196" t="str">
        <v xml:space="preserve"> 38.15</v>
      </c>
      <c r="M1109" s="196"/>
    </row>
    <row r="1110" spans="1:13" ht="14.4" x14ac:dyDescent="0.3">
      <c r="A1110" s="189" t="str">
        <f ca="1">IFERROR(__xludf.DUMMYFUNCTION("""COMPUTED_VALUE"""),"LV")</f>
        <v>LV</v>
      </c>
      <c r="B1110" s="195" t="str">
        <f ca="1">IFERROR(__xludf.DUMMYFUNCTION("""COMPUTED_VALUE"""),"Anabel Bezdieck")</f>
        <v>Anabel Bezdieck</v>
      </c>
      <c r="C1110" s="189">
        <f ca="1">IFERROR(__xludf.DUMMYFUNCTION("""COMPUTED_VALUE"""),7)</f>
        <v>7</v>
      </c>
      <c r="D1110" s="189" t="str">
        <f ca="1">IFERROR(__xludf.DUMMYFUNCTION("""COMPUTED_VALUE"""),"G")</f>
        <v>G</v>
      </c>
      <c r="E1110" s="189" t="str">
        <f ca="1">IFERROR(__xludf.DUMMYFUNCTION("""COMPUTED_VALUE"""),"F")</f>
        <v>F</v>
      </c>
      <c r="F1110" s="189" t="str">
        <f ca="1">IFERROR(__xludf.DUMMYFUNCTION("""COMPUTED_VALUE"""),"J")</f>
        <v>J</v>
      </c>
      <c r="G1110" s="189">
        <f ca="1">IFERROR(__xludf.DUMMYFUNCTION("""COMPUTED_VALUE"""),5)</f>
        <v>5</v>
      </c>
      <c r="H1110" s="196"/>
      <c r="I1110" s="196"/>
      <c r="J1110" s="196"/>
      <c r="K1110" s="196"/>
      <c r="L1110" s="196" t="str">
        <v/>
      </c>
      <c r="M1110" s="196"/>
    </row>
    <row r="1111" spans="1:13" ht="14.4" x14ac:dyDescent="0.3">
      <c r="A1111" s="189" t="str">
        <f ca="1">IFERROR(__xludf.DUMMYFUNCTION("""COMPUTED_VALUE"""),"LV")</f>
        <v>LV</v>
      </c>
      <c r="B1111" s="195" t="str">
        <f ca="1">IFERROR(__xludf.DUMMYFUNCTION("""COMPUTED_VALUE"""),"Isla Newsad")</f>
        <v>Isla Newsad</v>
      </c>
      <c r="C1111" s="189">
        <f ca="1">IFERROR(__xludf.DUMMYFUNCTION("""COMPUTED_VALUE"""),10)</f>
        <v>10</v>
      </c>
      <c r="D1111" s="189" t="str">
        <f ca="1">IFERROR(__xludf.DUMMYFUNCTION("""COMPUTED_VALUE"""),"G")</f>
        <v>G</v>
      </c>
      <c r="E1111" s="189" t="str">
        <f ca="1">IFERROR(__xludf.DUMMYFUNCTION("""COMPUTED_VALUE"""),"F")</f>
        <v>F</v>
      </c>
      <c r="F1111" s="189" t="str">
        <f ca="1">IFERROR(__xludf.DUMMYFUNCTION("""COMPUTED_VALUE"""),"J")</f>
        <v>J</v>
      </c>
      <c r="G1111" s="189">
        <f ca="1">IFERROR(__xludf.DUMMYFUNCTION("""COMPUTED_VALUE"""),5)</f>
        <v>5</v>
      </c>
      <c r="H1111" s="196" t="s">
        <v>464</v>
      </c>
      <c r="I1111" s="196"/>
      <c r="J1111" s="196" t="s">
        <v>29</v>
      </c>
      <c r="K1111" s="196"/>
      <c r="L1111" s="196" t="str">
        <v xml:space="preserve"> 63.70</v>
      </c>
      <c r="M1111" s="196"/>
    </row>
    <row r="1112" spans="1:13" ht="14.4" x14ac:dyDescent="0.3">
      <c r="A1112" s="189" t="str">
        <f ca="1">IFERROR(__xludf.DUMMYFUNCTION("""COMPUTED_VALUE"""),"LV")</f>
        <v>LV</v>
      </c>
      <c r="B1112" s="195" t="str">
        <f ca="1">IFERROR(__xludf.DUMMYFUNCTION("""COMPUTED_VALUE"""),"Josie Newsad")</f>
        <v>Josie Newsad</v>
      </c>
      <c r="C1112" s="189">
        <f ca="1">IFERROR(__xludf.DUMMYFUNCTION("""COMPUTED_VALUE"""),6)</f>
        <v>6</v>
      </c>
      <c r="D1112" s="189" t="str">
        <f ca="1">IFERROR(__xludf.DUMMYFUNCTION("""COMPUTED_VALUE"""),"G")</f>
        <v>G</v>
      </c>
      <c r="E1112" s="189" t="str">
        <f ca="1">IFERROR(__xludf.DUMMYFUNCTION("""COMPUTED_VALUE"""),"F")</f>
        <v>F</v>
      </c>
      <c r="F1112" s="189" t="str">
        <f ca="1">IFERROR(__xludf.DUMMYFUNCTION("""COMPUTED_VALUE"""),"J")</f>
        <v>J</v>
      </c>
      <c r="G1112" s="189">
        <f ca="1">IFERROR(__xludf.DUMMYFUNCTION("""COMPUTED_VALUE"""),5)</f>
        <v>5</v>
      </c>
      <c r="H1112" s="196" t="s">
        <v>465</v>
      </c>
      <c r="I1112" s="196"/>
      <c r="J1112" s="196" t="s">
        <v>29</v>
      </c>
      <c r="K1112" s="196"/>
      <c r="L1112" s="196" t="str">
        <v xml:space="preserve"> 7.50</v>
      </c>
      <c r="M1112" s="196"/>
    </row>
    <row r="1113" spans="1:13" ht="14.4" x14ac:dyDescent="0.3">
      <c r="A1113" s="189" t="str">
        <f ca="1">IFERROR(__xludf.DUMMYFUNCTION("""COMPUTED_VALUE"""),"LV")</f>
        <v>LV</v>
      </c>
      <c r="B1113" s="195" t="str">
        <f ca="1">IFERROR(__xludf.DUMMYFUNCTION("""COMPUTED_VALUE"""),"Lydia Andac-Jones")</f>
        <v>Lydia Andac-Jones</v>
      </c>
      <c r="C1113" s="189">
        <f ca="1">IFERROR(__xludf.DUMMYFUNCTION("""COMPUTED_VALUE"""),8)</f>
        <v>8</v>
      </c>
      <c r="D1113" s="189" t="str">
        <f ca="1">IFERROR(__xludf.DUMMYFUNCTION("""COMPUTED_VALUE"""),"G")</f>
        <v>G</v>
      </c>
      <c r="E1113" s="189" t="str">
        <f ca="1">IFERROR(__xludf.DUMMYFUNCTION("""COMPUTED_VALUE"""),"F")</f>
        <v>F</v>
      </c>
      <c r="F1113" s="189" t="str">
        <f ca="1">IFERROR(__xludf.DUMMYFUNCTION("""COMPUTED_VALUE"""),"J")</f>
        <v>J</v>
      </c>
      <c r="G1113" s="189">
        <f ca="1">IFERROR(__xludf.DUMMYFUNCTION("""COMPUTED_VALUE"""),5)</f>
        <v>5</v>
      </c>
      <c r="H1113" s="196"/>
      <c r="I1113" s="196"/>
      <c r="J1113" s="196"/>
      <c r="K1113" s="196"/>
      <c r="L1113" s="196" t="str">
        <v/>
      </c>
      <c r="M1113" s="196"/>
    </row>
    <row r="1114" spans="1:13" ht="14.4" x14ac:dyDescent="0.3">
      <c r="A1114" s="189" t="str">
        <f ca="1">IFERROR(__xludf.DUMMYFUNCTION("""COMPUTED_VALUE"""),"LV")</f>
        <v>LV</v>
      </c>
      <c r="B1114" s="195" t="str">
        <f ca="1">IFERROR(__xludf.DUMMYFUNCTION("""COMPUTED_VALUE"""),"Maddie Fucci")</f>
        <v>Maddie Fucci</v>
      </c>
      <c r="C1114" s="189">
        <f ca="1">IFERROR(__xludf.DUMMYFUNCTION("""COMPUTED_VALUE"""),10)</f>
        <v>10</v>
      </c>
      <c r="D1114" s="189" t="str">
        <f ca="1">IFERROR(__xludf.DUMMYFUNCTION("""COMPUTED_VALUE"""),"G")</f>
        <v>G</v>
      </c>
      <c r="E1114" s="189" t="str">
        <f ca="1">IFERROR(__xludf.DUMMYFUNCTION("""COMPUTED_VALUE"""),"F")</f>
        <v>F</v>
      </c>
      <c r="F1114" s="189" t="str">
        <f ca="1">IFERROR(__xludf.DUMMYFUNCTION("""COMPUTED_VALUE"""),"J")</f>
        <v>J</v>
      </c>
      <c r="G1114" s="189">
        <f ca="1">IFERROR(__xludf.DUMMYFUNCTION("""COMPUTED_VALUE"""),5)</f>
        <v>5</v>
      </c>
      <c r="H1114" s="196"/>
      <c r="I1114" s="196"/>
      <c r="J1114" s="196"/>
      <c r="K1114" s="196"/>
      <c r="L1114" s="196" t="str">
        <v/>
      </c>
      <c r="M1114" s="196"/>
    </row>
    <row r="1115" spans="1:13" ht="14.4" x14ac:dyDescent="0.3">
      <c r="A1115" s="189" t="str">
        <f ca="1">IFERROR(__xludf.DUMMYFUNCTION("""COMPUTED_VALUE"""),"LV")</f>
        <v>LV</v>
      </c>
      <c r="B1115" s="195" t="str">
        <f ca="1">IFERROR(__xludf.DUMMYFUNCTION("""COMPUTED_VALUE"""),"Sadie Fickling")</f>
        <v>Sadie Fickling</v>
      </c>
      <c r="C1115" s="189">
        <f ca="1">IFERROR(__xludf.DUMMYFUNCTION("""COMPUTED_VALUE"""),8)</f>
        <v>8</v>
      </c>
      <c r="D1115" s="189" t="str">
        <f ca="1">IFERROR(__xludf.DUMMYFUNCTION("""COMPUTED_VALUE"""),"G")</f>
        <v>G</v>
      </c>
      <c r="E1115" s="189" t="str">
        <f ca="1">IFERROR(__xludf.DUMMYFUNCTION("""COMPUTED_VALUE"""),"F")</f>
        <v>F</v>
      </c>
      <c r="F1115" s="189" t="str">
        <f ca="1">IFERROR(__xludf.DUMMYFUNCTION("""COMPUTED_VALUE"""),"J")</f>
        <v>J</v>
      </c>
      <c r="G1115" s="189">
        <f ca="1">IFERROR(__xludf.DUMMYFUNCTION("""COMPUTED_VALUE"""),5)</f>
        <v>5</v>
      </c>
      <c r="H1115" s="196"/>
      <c r="I1115" s="196"/>
      <c r="J1115" s="196"/>
      <c r="K1115" s="196"/>
      <c r="L1115" s="196" t="str">
        <v/>
      </c>
      <c r="M1115" s="196"/>
    </row>
    <row r="1116" spans="1:13" ht="14.4" x14ac:dyDescent="0.3">
      <c r="A1116" s="189" t="str">
        <f ca="1">IFERROR(__xludf.DUMMYFUNCTION("""COMPUTED_VALUE"""),"LV")</f>
        <v>LV</v>
      </c>
      <c r="B1116" s="195" t="str">
        <f ca="1">IFERROR(__xludf.DUMMYFUNCTION("""COMPUTED_VALUE"""),"John Tarr")</f>
        <v>John Tarr</v>
      </c>
      <c r="C1116" s="189">
        <f ca="1">IFERROR(__xludf.DUMMYFUNCTION("""COMPUTED_VALUE"""),10)</f>
        <v>10</v>
      </c>
      <c r="D1116" s="189" t="str">
        <f ca="1">IFERROR(__xludf.DUMMYFUNCTION("""COMPUTED_VALUE"""),"B")</f>
        <v>B</v>
      </c>
      <c r="E1116" s="189" t="str">
        <f ca="1">IFERROR(__xludf.DUMMYFUNCTION("""COMPUTED_VALUE"""),"F")</f>
        <v>F</v>
      </c>
      <c r="F1116" s="189" t="str">
        <f ca="1">IFERROR(__xludf.DUMMYFUNCTION("""COMPUTED_VALUE"""),"J")</f>
        <v>J</v>
      </c>
      <c r="G1116" s="189">
        <f ca="1">IFERROR(__xludf.DUMMYFUNCTION("""COMPUTED_VALUE"""),5)</f>
        <v>5</v>
      </c>
      <c r="H1116" s="196" t="s">
        <v>466</v>
      </c>
      <c r="I1116" s="196"/>
      <c r="J1116" s="196" t="s">
        <v>29</v>
      </c>
      <c r="K1116" s="196"/>
      <c r="L1116" s="196" t="str">
        <v xml:space="preserve"> 35.30</v>
      </c>
      <c r="M1116" s="196"/>
    </row>
    <row r="1117" spans="1:13" ht="14.4" x14ac:dyDescent="0.3">
      <c r="A1117" s="189" t="str">
        <f ca="1">IFERROR(__xludf.DUMMYFUNCTION("""COMPUTED_VALUE"""),"LV")</f>
        <v>LV</v>
      </c>
      <c r="B1117" s="195" t="str">
        <f ca="1">IFERROR(__xludf.DUMMYFUNCTION("""COMPUTED_VALUE"""),"Claire Andresen")</f>
        <v>Claire Andresen</v>
      </c>
      <c r="C1117" s="189">
        <f ca="1">IFERROR(__xludf.DUMMYFUNCTION("""COMPUTED_VALUE"""),13)</f>
        <v>13</v>
      </c>
      <c r="D1117" s="189" t="str">
        <f ca="1">IFERROR(__xludf.DUMMYFUNCTION("""COMPUTED_VALUE"""),"G")</f>
        <v>G</v>
      </c>
      <c r="E1117" s="189" t="str">
        <f ca="1">IFERROR(__xludf.DUMMYFUNCTION("""COMPUTED_VALUE"""),"I")</f>
        <v>I</v>
      </c>
      <c r="F1117" s="189" t="str">
        <f ca="1">IFERROR(__xludf.DUMMYFUNCTION("""COMPUTED_VALUE"""),"S")</f>
        <v>S</v>
      </c>
      <c r="G1117" s="189">
        <f ca="1">IFERROR(__xludf.DUMMYFUNCTION("""COMPUTED_VALUE"""),5)</f>
        <v>5</v>
      </c>
      <c r="H1117" s="196"/>
      <c r="I1117" s="196"/>
      <c r="J1117" s="196"/>
      <c r="K1117" s="196"/>
      <c r="L1117" s="196" t="str">
        <v/>
      </c>
      <c r="M1117" s="196"/>
    </row>
    <row r="1118" spans="1:13" ht="14.4" x14ac:dyDescent="0.3">
      <c r="A1118" s="189" t="str">
        <f ca="1">IFERROR(__xludf.DUMMYFUNCTION("""COMPUTED_VALUE"""),"LV")</f>
        <v>LV</v>
      </c>
      <c r="B1118" s="195" t="str">
        <f ca="1">IFERROR(__xludf.DUMMYFUNCTION("""COMPUTED_VALUE"""),"Isabelle Koenig")</f>
        <v>Isabelle Koenig</v>
      </c>
      <c r="C1118" s="189">
        <f ca="1">IFERROR(__xludf.DUMMYFUNCTION("""COMPUTED_VALUE"""),13)</f>
        <v>13</v>
      </c>
      <c r="D1118" s="189" t="str">
        <f ca="1">IFERROR(__xludf.DUMMYFUNCTION("""COMPUTED_VALUE"""),"G")</f>
        <v>G</v>
      </c>
      <c r="E1118" s="189" t="str">
        <f ca="1">IFERROR(__xludf.DUMMYFUNCTION("""COMPUTED_VALUE"""),"I")</f>
        <v>I</v>
      </c>
      <c r="F1118" s="189" t="str">
        <f ca="1">IFERROR(__xludf.DUMMYFUNCTION("""COMPUTED_VALUE"""),"S")</f>
        <v>S</v>
      </c>
      <c r="G1118" s="189">
        <f ca="1">IFERROR(__xludf.DUMMYFUNCTION("""COMPUTED_VALUE"""),5)</f>
        <v>5</v>
      </c>
      <c r="H1118" s="196" t="s">
        <v>467</v>
      </c>
      <c r="I1118" s="196"/>
      <c r="J1118" s="196" t="s">
        <v>29</v>
      </c>
      <c r="K1118" s="196"/>
      <c r="L1118" s="196" t="str">
        <v xml:space="preserve"> 107.65</v>
      </c>
      <c r="M1118" s="196"/>
    </row>
    <row r="1119" spans="1:13" ht="14.4" x14ac:dyDescent="0.3">
      <c r="A1119" s="189" t="str">
        <f ca="1">IFERROR(__xludf.DUMMYFUNCTION("""COMPUTED_VALUE"""),"LV")</f>
        <v>LV</v>
      </c>
      <c r="B1119" s="195" t="str">
        <f ca="1">IFERROR(__xludf.DUMMYFUNCTION("""COMPUTED_VALUE"""),"Melinda Alarie")</f>
        <v>Melinda Alarie</v>
      </c>
      <c r="C1119" s="189">
        <f ca="1">IFERROR(__xludf.DUMMYFUNCTION("""COMPUTED_VALUE"""),13)</f>
        <v>13</v>
      </c>
      <c r="D1119" s="189" t="str">
        <f ca="1">IFERROR(__xludf.DUMMYFUNCTION("""COMPUTED_VALUE"""),"G")</f>
        <v>G</v>
      </c>
      <c r="E1119" s="189" t="str">
        <f ca="1">IFERROR(__xludf.DUMMYFUNCTION("""COMPUTED_VALUE"""),"I")</f>
        <v>I</v>
      </c>
      <c r="F1119" s="189" t="str">
        <f ca="1">IFERROR(__xludf.DUMMYFUNCTION("""COMPUTED_VALUE"""),"S")</f>
        <v>S</v>
      </c>
      <c r="G1119" s="189">
        <f ca="1">IFERROR(__xludf.DUMMYFUNCTION("""COMPUTED_VALUE"""),5)</f>
        <v>5</v>
      </c>
      <c r="H1119" s="196"/>
      <c r="I1119" s="196"/>
      <c r="J1119" s="196"/>
      <c r="K1119" s="196"/>
      <c r="L1119" s="196" t="str">
        <v/>
      </c>
      <c r="M1119" s="196"/>
    </row>
    <row r="1120" spans="1:13" ht="14.4" x14ac:dyDescent="0.3">
      <c r="A1120" s="189" t="str">
        <f ca="1">IFERROR(__xludf.DUMMYFUNCTION("""COMPUTED_VALUE"""),"LV")</f>
        <v>LV</v>
      </c>
      <c r="B1120" s="195" t="str">
        <f ca="1">IFERROR(__xludf.DUMMYFUNCTION("""COMPUTED_VALUE"""),"Adam Lash")</f>
        <v>Adam Lash</v>
      </c>
      <c r="C1120" s="189">
        <f ca="1">IFERROR(__xludf.DUMMYFUNCTION("""COMPUTED_VALUE"""),14)</f>
        <v>14</v>
      </c>
      <c r="D1120" s="189" t="str">
        <f ca="1">IFERROR(__xludf.DUMMYFUNCTION("""COMPUTED_VALUE"""),"B")</f>
        <v>B</v>
      </c>
      <c r="E1120" s="189" t="str">
        <f ca="1">IFERROR(__xludf.DUMMYFUNCTION("""COMPUTED_VALUE"""),"I")</f>
        <v>I</v>
      </c>
      <c r="F1120" s="189" t="str">
        <f ca="1">IFERROR(__xludf.DUMMYFUNCTION("""COMPUTED_VALUE"""),"S")</f>
        <v>S</v>
      </c>
      <c r="G1120" s="189">
        <f ca="1">IFERROR(__xludf.DUMMYFUNCTION("""COMPUTED_VALUE"""),5)</f>
        <v>5</v>
      </c>
      <c r="H1120" s="196" t="s">
        <v>415</v>
      </c>
      <c r="I1120" s="196"/>
      <c r="J1120" s="196" t="s">
        <v>29</v>
      </c>
      <c r="K1120" s="196"/>
      <c r="L1120" s="196" t="str">
        <v xml:space="preserve"> 122.70</v>
      </c>
      <c r="M1120" s="196"/>
    </row>
    <row r="1121" spans="1:13" ht="14.4" x14ac:dyDescent="0.3">
      <c r="A1121" s="189" t="str">
        <f ca="1">IFERROR(__xludf.DUMMYFUNCTION("""COMPUTED_VALUE"""),"LV")</f>
        <v>LV</v>
      </c>
      <c r="B1121" s="195" t="str">
        <f ca="1">IFERROR(__xludf.DUMMYFUNCTION("""COMPUTED_VALUE"""),"Ethan Hubbard")</f>
        <v>Ethan Hubbard</v>
      </c>
      <c r="C1121" s="189">
        <f ca="1">IFERROR(__xludf.DUMMYFUNCTION("""COMPUTED_VALUE"""),14)</f>
        <v>14</v>
      </c>
      <c r="D1121" s="189" t="str">
        <f ca="1">IFERROR(__xludf.DUMMYFUNCTION("""COMPUTED_VALUE"""),"B")</f>
        <v>B</v>
      </c>
      <c r="E1121" s="189" t="str">
        <f ca="1">IFERROR(__xludf.DUMMYFUNCTION("""COMPUTED_VALUE"""),"I")</f>
        <v>I</v>
      </c>
      <c r="F1121" s="189" t="str">
        <f ca="1">IFERROR(__xludf.DUMMYFUNCTION("""COMPUTED_VALUE"""),"S")</f>
        <v>S</v>
      </c>
      <c r="G1121" s="189">
        <f ca="1">IFERROR(__xludf.DUMMYFUNCTION("""COMPUTED_VALUE"""),5)</f>
        <v>5</v>
      </c>
      <c r="H1121" s="196" t="s">
        <v>468</v>
      </c>
      <c r="I1121" s="196"/>
      <c r="J1121" s="196" t="s">
        <v>29</v>
      </c>
      <c r="K1121" s="196"/>
      <c r="L1121" s="196" t="str">
        <v xml:space="preserve"> 118.30</v>
      </c>
      <c r="M1121" s="196"/>
    </row>
    <row r="1122" spans="1:13" ht="14.4" x14ac:dyDescent="0.3">
      <c r="A1122" s="189" t="str">
        <f ca="1">IFERROR(__xludf.DUMMYFUNCTION("""COMPUTED_VALUE"""),"LV")</f>
        <v>LV</v>
      </c>
      <c r="B1122" s="195" t="str">
        <f ca="1">IFERROR(__xludf.DUMMYFUNCTION("""COMPUTED_VALUE"""),"Gunner Larson")</f>
        <v>Gunner Larson</v>
      </c>
      <c r="C1122" s="189">
        <f ca="1">IFERROR(__xludf.DUMMYFUNCTION("""COMPUTED_VALUE"""),13)</f>
        <v>13</v>
      </c>
      <c r="D1122" s="189" t="str">
        <f ca="1">IFERROR(__xludf.DUMMYFUNCTION("""COMPUTED_VALUE"""),"B")</f>
        <v>B</v>
      </c>
      <c r="E1122" s="189" t="str">
        <f ca="1">IFERROR(__xludf.DUMMYFUNCTION("""COMPUTED_VALUE"""),"I")</f>
        <v>I</v>
      </c>
      <c r="F1122" s="189" t="str">
        <f ca="1">IFERROR(__xludf.DUMMYFUNCTION("""COMPUTED_VALUE"""),"S")</f>
        <v>S</v>
      </c>
      <c r="G1122" s="189">
        <f ca="1">IFERROR(__xludf.DUMMYFUNCTION("""COMPUTED_VALUE"""),5)</f>
        <v>5</v>
      </c>
      <c r="H1122" s="196" t="s">
        <v>469</v>
      </c>
      <c r="I1122" s="196"/>
      <c r="J1122" s="196" t="s">
        <v>29</v>
      </c>
      <c r="K1122" s="196"/>
      <c r="L1122" s="196" t="str">
        <v xml:space="preserve"> 116.25</v>
      </c>
      <c r="M1122" s="196"/>
    </row>
    <row r="1123" spans="1:13" ht="14.4" x14ac:dyDescent="0.3">
      <c r="A1123" s="189" t="str">
        <f ca="1">IFERROR(__xludf.DUMMYFUNCTION("""COMPUTED_VALUE"""),"LV")</f>
        <v>LV</v>
      </c>
      <c r="B1123" s="195" t="str">
        <f ca="1">IFERROR(__xludf.DUMMYFUNCTION("""COMPUTED_VALUE"""),"Deena Epstein")</f>
        <v>Deena Epstein</v>
      </c>
      <c r="C1123" s="189">
        <f ca="1">IFERROR(__xludf.DUMMYFUNCTION("""COMPUTED_VALUE"""),12)</f>
        <v>12</v>
      </c>
      <c r="D1123" s="189" t="str">
        <f ca="1">IFERROR(__xludf.DUMMYFUNCTION("""COMPUTED_VALUE"""),"G")</f>
        <v>G</v>
      </c>
      <c r="E1123" s="189" t="str">
        <f ca="1">IFERROR(__xludf.DUMMYFUNCTION("""COMPUTED_VALUE"""),"J")</f>
        <v>J</v>
      </c>
      <c r="F1123" s="189" t="str">
        <f ca="1">IFERROR(__xludf.DUMMYFUNCTION("""COMPUTED_VALUE"""),"I")</f>
        <v>I</v>
      </c>
      <c r="G1123" s="189">
        <f ca="1">IFERROR(__xludf.DUMMYFUNCTION("""COMPUTED_VALUE"""),5)</f>
        <v>5</v>
      </c>
      <c r="H1123" s="196" t="s">
        <v>470</v>
      </c>
      <c r="I1123" s="196"/>
      <c r="J1123" s="196" t="s">
        <v>29</v>
      </c>
      <c r="K1123" s="196"/>
      <c r="L1123" s="196" t="str">
        <v xml:space="preserve"> 55.40</v>
      </c>
      <c r="M1123" s="196"/>
    </row>
    <row r="1124" spans="1:13" ht="14.4" x14ac:dyDescent="0.3">
      <c r="A1124" s="189" t="str">
        <f ca="1">IFERROR(__xludf.DUMMYFUNCTION("""COMPUTED_VALUE"""),"LV")</f>
        <v>LV</v>
      </c>
      <c r="B1124" s="195" t="str">
        <f ca="1">IFERROR(__xludf.DUMMYFUNCTION("""COMPUTED_VALUE"""),"Lacey Slone")</f>
        <v>Lacey Slone</v>
      </c>
      <c r="C1124" s="189">
        <f ca="1">IFERROR(__xludf.DUMMYFUNCTION("""COMPUTED_VALUE"""),12)</f>
        <v>12</v>
      </c>
      <c r="D1124" s="189" t="str">
        <f ca="1">IFERROR(__xludf.DUMMYFUNCTION("""COMPUTED_VALUE"""),"G")</f>
        <v>G</v>
      </c>
      <c r="E1124" s="189" t="str">
        <f ca="1">IFERROR(__xludf.DUMMYFUNCTION("""COMPUTED_VALUE"""),"J")</f>
        <v>J</v>
      </c>
      <c r="F1124" s="189" t="str">
        <f ca="1">IFERROR(__xludf.DUMMYFUNCTION("""COMPUTED_VALUE"""),"I")</f>
        <v>I</v>
      </c>
      <c r="G1124" s="189">
        <f ca="1">IFERROR(__xludf.DUMMYFUNCTION("""COMPUTED_VALUE"""),5)</f>
        <v>5</v>
      </c>
      <c r="H1124" s="196" t="s">
        <v>471</v>
      </c>
      <c r="I1124" s="196"/>
      <c r="J1124" s="196" t="s">
        <v>29</v>
      </c>
      <c r="K1124" s="196"/>
      <c r="L1124" s="196" t="str">
        <v xml:space="preserve"> 82.70</v>
      </c>
      <c r="M1124" s="196"/>
    </row>
    <row r="1125" spans="1:13" ht="14.4" x14ac:dyDescent="0.3">
      <c r="A1125" s="189" t="str">
        <f ca="1">IFERROR(__xludf.DUMMYFUNCTION("""COMPUTED_VALUE"""),"LV")</f>
        <v>LV</v>
      </c>
      <c r="B1125" s="195" t="str">
        <f ca="1">IFERROR(__xludf.DUMMYFUNCTION("""COMPUTED_VALUE"""),"Mimei Minato")</f>
        <v>Mimei Minato</v>
      </c>
      <c r="C1125" s="189">
        <f ca="1">IFERROR(__xludf.DUMMYFUNCTION("""COMPUTED_VALUE"""),12)</f>
        <v>12</v>
      </c>
      <c r="D1125" s="189" t="str">
        <f ca="1">IFERROR(__xludf.DUMMYFUNCTION("""COMPUTED_VALUE"""),"G")</f>
        <v>G</v>
      </c>
      <c r="E1125" s="189" t="str">
        <f ca="1">IFERROR(__xludf.DUMMYFUNCTION("""COMPUTED_VALUE"""),"J")</f>
        <v>J</v>
      </c>
      <c r="F1125" s="189" t="str">
        <f ca="1">IFERROR(__xludf.DUMMYFUNCTION("""COMPUTED_VALUE"""),"I")</f>
        <v>I</v>
      </c>
      <c r="G1125" s="189">
        <f ca="1">IFERROR(__xludf.DUMMYFUNCTION("""COMPUTED_VALUE"""),5)</f>
        <v>5</v>
      </c>
      <c r="H1125" s="196" t="s">
        <v>472</v>
      </c>
      <c r="I1125" s="196"/>
      <c r="J1125" s="196" t="s">
        <v>29</v>
      </c>
      <c r="K1125" s="196"/>
      <c r="L1125" s="196" t="str">
        <v xml:space="preserve"> 71.45</v>
      </c>
      <c r="M1125" s="196"/>
    </row>
    <row r="1126" spans="1:13" ht="14.4" x14ac:dyDescent="0.3">
      <c r="A1126" s="189" t="str">
        <f ca="1">IFERROR(__xludf.DUMMYFUNCTION("""COMPUTED_VALUE"""),"LV")</f>
        <v>LV</v>
      </c>
      <c r="B1126" s="195" t="str">
        <f ca="1">IFERROR(__xludf.DUMMYFUNCTION("""COMPUTED_VALUE"""),"Reese Andresen")</f>
        <v>Reese Andresen</v>
      </c>
      <c r="C1126" s="189">
        <f ca="1">IFERROR(__xludf.DUMMYFUNCTION("""COMPUTED_VALUE"""),11)</f>
        <v>11</v>
      </c>
      <c r="D1126" s="189" t="str">
        <f ca="1">IFERROR(__xludf.DUMMYFUNCTION("""COMPUTED_VALUE"""),"G")</f>
        <v>G</v>
      </c>
      <c r="E1126" s="189" t="str">
        <f ca="1">IFERROR(__xludf.DUMMYFUNCTION("""COMPUTED_VALUE"""),"J")</f>
        <v>J</v>
      </c>
      <c r="F1126" s="189" t="str">
        <f ca="1">IFERROR(__xludf.DUMMYFUNCTION("""COMPUTED_VALUE"""),"I")</f>
        <v>I</v>
      </c>
      <c r="G1126" s="189">
        <f ca="1">IFERROR(__xludf.DUMMYFUNCTION("""COMPUTED_VALUE"""),5)</f>
        <v>5</v>
      </c>
      <c r="H1126" s="196" t="s">
        <v>473</v>
      </c>
      <c r="I1126" s="196"/>
      <c r="J1126" s="196" t="s">
        <v>29</v>
      </c>
      <c r="K1126" s="196"/>
      <c r="L1126" s="196" t="str">
        <v xml:space="preserve"> 63.35</v>
      </c>
      <c r="M1126" s="196"/>
    </row>
    <row r="1127" spans="1:13" ht="14.4" x14ac:dyDescent="0.3">
      <c r="A1127" s="189" t="str">
        <f ca="1">IFERROR(__xludf.DUMMYFUNCTION("""COMPUTED_VALUE"""),"LV")</f>
        <v>LV</v>
      </c>
      <c r="B1127" s="195" t="str">
        <f ca="1">IFERROR(__xludf.DUMMYFUNCTION("""COMPUTED_VALUE"""),"Sarah Fickling")</f>
        <v>Sarah Fickling</v>
      </c>
      <c r="C1127" s="189">
        <f ca="1">IFERROR(__xludf.DUMMYFUNCTION("""COMPUTED_VALUE"""),12)</f>
        <v>12</v>
      </c>
      <c r="D1127" s="189" t="str">
        <f ca="1">IFERROR(__xludf.DUMMYFUNCTION("""COMPUTED_VALUE"""),"G")</f>
        <v>G</v>
      </c>
      <c r="E1127" s="189" t="str">
        <f ca="1">IFERROR(__xludf.DUMMYFUNCTION("""COMPUTED_VALUE"""),"J")</f>
        <v>J</v>
      </c>
      <c r="F1127" s="189" t="str">
        <f ca="1">IFERROR(__xludf.DUMMYFUNCTION("""COMPUTED_VALUE"""),"I")</f>
        <v>I</v>
      </c>
      <c r="G1127" s="189">
        <f ca="1">IFERROR(__xludf.DUMMYFUNCTION("""COMPUTED_VALUE"""),5)</f>
        <v>5</v>
      </c>
      <c r="H1127" s="196" t="s">
        <v>118</v>
      </c>
      <c r="I1127" s="196"/>
      <c r="J1127" s="196" t="s">
        <v>29</v>
      </c>
      <c r="K1127" s="196"/>
      <c r="L1127" s="196" t="str">
        <v xml:space="preserve"> 82.10</v>
      </c>
      <c r="M1127" s="196"/>
    </row>
    <row r="1128" spans="1:13" ht="14.4" x14ac:dyDescent="0.3">
      <c r="A1128" s="189" t="str">
        <f ca="1">IFERROR(__xludf.DUMMYFUNCTION("""COMPUTED_VALUE"""),"LV")</f>
        <v>LV</v>
      </c>
      <c r="B1128" s="195" t="str">
        <f ca="1">IFERROR(__xludf.DUMMYFUNCTION("""COMPUTED_VALUE"""),"Aniket Agarwal")</f>
        <v>Aniket Agarwal</v>
      </c>
      <c r="C1128" s="189">
        <f ca="1">IFERROR(__xludf.DUMMYFUNCTION("""COMPUTED_VALUE"""),12)</f>
        <v>12</v>
      </c>
      <c r="D1128" s="189" t="str">
        <f ca="1">IFERROR(__xludf.DUMMYFUNCTION("""COMPUTED_VALUE"""),"B")</f>
        <v>B</v>
      </c>
      <c r="E1128" s="189" t="str">
        <f ca="1">IFERROR(__xludf.DUMMYFUNCTION("""COMPUTED_VALUE"""),"J")</f>
        <v>J</v>
      </c>
      <c r="F1128" s="189" t="str">
        <f ca="1">IFERROR(__xludf.DUMMYFUNCTION("""COMPUTED_VALUE"""),"I")</f>
        <v>I</v>
      </c>
      <c r="G1128" s="189">
        <f ca="1">IFERROR(__xludf.DUMMYFUNCTION("""COMPUTED_VALUE"""),5)</f>
        <v>5</v>
      </c>
      <c r="H1128" s="196" t="s">
        <v>474</v>
      </c>
      <c r="I1128" s="196"/>
      <c r="J1128" s="196" t="s">
        <v>29</v>
      </c>
      <c r="K1128" s="196"/>
      <c r="L1128" s="196" t="str">
        <v xml:space="preserve"> 62.50</v>
      </c>
      <c r="M1128" s="196"/>
    </row>
    <row r="1129" spans="1:13" ht="14.4" x14ac:dyDescent="0.3">
      <c r="A1129" s="189" t="str">
        <f ca="1">IFERROR(__xludf.DUMMYFUNCTION("""COMPUTED_VALUE"""),"LV")</f>
        <v>LV</v>
      </c>
      <c r="B1129" s="195" t="str">
        <f ca="1">IFERROR(__xludf.DUMMYFUNCTION("""COMPUTED_VALUE"""),"Teddy Alarie")</f>
        <v>Teddy Alarie</v>
      </c>
      <c r="C1129" s="189">
        <f ca="1">IFERROR(__xludf.DUMMYFUNCTION("""COMPUTED_VALUE"""),11)</f>
        <v>11</v>
      </c>
      <c r="D1129" s="189" t="str">
        <f ca="1">IFERROR(__xludf.DUMMYFUNCTION("""COMPUTED_VALUE"""),"B")</f>
        <v>B</v>
      </c>
      <c r="E1129" s="189" t="str">
        <f ca="1">IFERROR(__xludf.DUMMYFUNCTION("""COMPUTED_VALUE"""),"J")</f>
        <v>J</v>
      </c>
      <c r="F1129" s="189" t="str">
        <f ca="1">IFERROR(__xludf.DUMMYFUNCTION("""COMPUTED_VALUE"""),"I")</f>
        <v>I</v>
      </c>
      <c r="G1129" s="189">
        <f ca="1">IFERROR(__xludf.DUMMYFUNCTION("""COMPUTED_VALUE"""),5)</f>
        <v>5</v>
      </c>
      <c r="H1129" s="196"/>
      <c r="I1129" s="196"/>
      <c r="J1129" s="196"/>
      <c r="K1129" s="196"/>
      <c r="L1129" s="196" t="str">
        <v/>
      </c>
      <c r="M1129" s="196"/>
    </row>
    <row r="1130" spans="1:13" ht="14.4" x14ac:dyDescent="0.3">
      <c r="A1130" s="189" t="str">
        <f ca="1">IFERROR(__xludf.DUMMYFUNCTION("""COMPUTED_VALUE"""),"LV")</f>
        <v>LV</v>
      </c>
      <c r="B1130" s="195" t="str">
        <f ca="1">IFERROR(__xludf.DUMMYFUNCTION("""COMPUTED_VALUE"""),"Beatrice Sultanaeva")</f>
        <v>Beatrice Sultanaeva</v>
      </c>
      <c r="C1130" s="189">
        <f ca="1">IFERROR(__xludf.DUMMYFUNCTION("""COMPUTED_VALUE"""),15)</f>
        <v>15</v>
      </c>
      <c r="D1130" s="189" t="str">
        <f ca="1">IFERROR(__xludf.DUMMYFUNCTION("""COMPUTED_VALUE"""),"G")</f>
        <v>G</v>
      </c>
      <c r="E1130" s="189" t="str">
        <f ca="1">IFERROR(__xludf.DUMMYFUNCTION("""COMPUTED_VALUE"""),"S")</f>
        <v>S</v>
      </c>
      <c r="F1130" s="189" t="str">
        <f ca="1">IFERROR(__xludf.DUMMYFUNCTION("""COMPUTED_VALUE"""),"S")</f>
        <v>S</v>
      </c>
      <c r="G1130" s="189">
        <f ca="1">IFERROR(__xludf.DUMMYFUNCTION("""COMPUTED_VALUE"""),5)</f>
        <v>5</v>
      </c>
      <c r="H1130" s="196" t="s">
        <v>475</v>
      </c>
      <c r="I1130" s="196"/>
      <c r="J1130" s="196" t="s">
        <v>29</v>
      </c>
      <c r="K1130" s="196"/>
      <c r="L1130" s="196" t="str">
        <v xml:space="preserve"> 215.30</v>
      </c>
      <c r="M1130" s="196"/>
    </row>
    <row r="1131" spans="1:13" ht="14.4" x14ac:dyDescent="0.3">
      <c r="A1131" s="189" t="str">
        <f ca="1">IFERROR(__xludf.DUMMYFUNCTION("""COMPUTED_VALUE"""),"LV")</f>
        <v>LV</v>
      </c>
      <c r="B1131" s="195" t="str">
        <f ca="1">IFERROR(__xludf.DUMMYFUNCTION("""COMPUTED_VALUE"""),"Lora Berkeley Macaranas")</f>
        <v>Lora Berkeley Macaranas</v>
      </c>
      <c r="C1131" s="189">
        <f ca="1">IFERROR(__xludf.DUMMYFUNCTION("""COMPUTED_VALUE"""),17)</f>
        <v>17</v>
      </c>
      <c r="D1131" s="189" t="str">
        <f ca="1">IFERROR(__xludf.DUMMYFUNCTION("""COMPUTED_VALUE"""),"G")</f>
        <v>G</v>
      </c>
      <c r="E1131" s="189" t="str">
        <f ca="1">IFERROR(__xludf.DUMMYFUNCTION("""COMPUTED_VALUE"""),"S")</f>
        <v>S</v>
      </c>
      <c r="F1131" s="189" t="str">
        <f ca="1">IFERROR(__xludf.DUMMYFUNCTION("""COMPUTED_VALUE"""),"S")</f>
        <v>S</v>
      </c>
      <c r="G1131" s="189">
        <f ca="1">IFERROR(__xludf.DUMMYFUNCTION("""COMPUTED_VALUE"""),5)</f>
        <v>5</v>
      </c>
      <c r="H1131" s="196"/>
      <c r="I1131" s="196"/>
      <c r="J1131" s="196"/>
      <c r="K1131" s="196"/>
      <c r="L1131" s="196" t="str">
        <v/>
      </c>
      <c r="M1131" s="196"/>
    </row>
    <row r="1132" spans="1:13" ht="14.4" x14ac:dyDescent="0.3">
      <c r="A1132" s="189" t="str">
        <f ca="1">IFERROR(__xludf.DUMMYFUNCTION("""COMPUTED_VALUE"""),"LV")</f>
        <v>LV</v>
      </c>
      <c r="B1132" s="195" t="str">
        <f ca="1">IFERROR(__xludf.DUMMYFUNCTION("""COMPUTED_VALUE"""),"Ryan Mitchell")</f>
        <v>Ryan Mitchell</v>
      </c>
      <c r="C1132" s="189">
        <f ca="1">IFERROR(__xludf.DUMMYFUNCTION("""COMPUTED_VALUE"""),18)</f>
        <v>18</v>
      </c>
      <c r="D1132" s="189" t="str">
        <f ca="1">IFERROR(__xludf.DUMMYFUNCTION("""COMPUTED_VALUE"""),"B")</f>
        <v>B</v>
      </c>
      <c r="E1132" s="189" t="str">
        <f ca="1">IFERROR(__xludf.DUMMYFUNCTION("""COMPUTED_VALUE"""),"S")</f>
        <v>S</v>
      </c>
      <c r="F1132" s="189" t="str">
        <f ca="1">IFERROR(__xludf.DUMMYFUNCTION("""COMPUTED_VALUE"""),"S")</f>
        <v>S</v>
      </c>
      <c r="G1132" s="189">
        <f ca="1">IFERROR(__xludf.DUMMYFUNCTION("""COMPUTED_VALUE"""),5)</f>
        <v>5</v>
      </c>
      <c r="H1132" s="196" t="s">
        <v>476</v>
      </c>
      <c r="I1132" s="196"/>
      <c r="J1132" s="196" t="s">
        <v>29</v>
      </c>
      <c r="K1132" s="196"/>
      <c r="L1132" s="196" t="str">
        <v xml:space="preserve"> 258.95</v>
      </c>
      <c r="M1132" s="196"/>
    </row>
    <row r="1133" spans="1:13" ht="14.4" x14ac:dyDescent="0.3">
      <c r="A1133" s="189" t="str">
        <f ca="1">IFERROR(__xludf.DUMMYFUNCTION("""COMPUTED_VALUE"""),"LV")</f>
        <v>LV</v>
      </c>
      <c r="B1133" s="195" t="str">
        <f ca="1">IFERROR(__xludf.DUMMYFUNCTION("""COMPUTED_VALUE"""),"Shawn Hubbard")</f>
        <v>Shawn Hubbard</v>
      </c>
      <c r="C1133" s="189">
        <f ca="1">IFERROR(__xludf.DUMMYFUNCTION("""COMPUTED_VALUE"""),17)</f>
        <v>17</v>
      </c>
      <c r="D1133" s="189" t="str">
        <f ca="1">IFERROR(__xludf.DUMMYFUNCTION("""COMPUTED_VALUE"""),"B")</f>
        <v>B</v>
      </c>
      <c r="E1133" s="189" t="str">
        <f ca="1">IFERROR(__xludf.DUMMYFUNCTION("""COMPUTED_VALUE"""),"S")</f>
        <v>S</v>
      </c>
      <c r="F1133" s="189" t="str">
        <f ca="1">IFERROR(__xludf.DUMMYFUNCTION("""COMPUTED_VALUE"""),"S")</f>
        <v>S</v>
      </c>
      <c r="G1133" s="189">
        <f ca="1">IFERROR(__xludf.DUMMYFUNCTION("""COMPUTED_VALUE"""),5)</f>
        <v>5</v>
      </c>
      <c r="H1133" s="196" t="s">
        <v>477</v>
      </c>
      <c r="I1133" s="196"/>
      <c r="J1133" s="196" t="s">
        <v>29</v>
      </c>
      <c r="K1133" s="196"/>
      <c r="L1133" s="196" t="str">
        <v xml:space="preserve"> 188.35</v>
      </c>
      <c r="M1133" s="196"/>
    </row>
    <row r="1134" spans="1:13" ht="14.4" x14ac:dyDescent="0.3">
      <c r="A1134" s="189" t="str">
        <f ca="1">IFERROR(__xludf.DUMMYFUNCTION("""COMPUTED_VALUE"""),"M")</f>
        <v>M</v>
      </c>
      <c r="B1134" s="195" t="str">
        <f ca="1">IFERROR(__xludf.DUMMYFUNCTION("""COMPUTED_VALUE"""),"Anastasia Wendle")</f>
        <v>Anastasia Wendle</v>
      </c>
      <c r="C1134" s="189">
        <f ca="1">IFERROR(__xludf.DUMMYFUNCTION("""COMPUTED_VALUE"""),10)</f>
        <v>10</v>
      </c>
      <c r="D1134" s="189" t="str">
        <f ca="1">IFERROR(__xludf.DUMMYFUNCTION("""COMPUTED_VALUE"""),"G")</f>
        <v>G</v>
      </c>
      <c r="E1134" s="189" t="str">
        <f ca="1">IFERROR(__xludf.DUMMYFUNCTION("""COMPUTED_VALUE"""),"F")</f>
        <v>F</v>
      </c>
      <c r="F1134" s="189" t="str">
        <f ca="1">IFERROR(__xludf.DUMMYFUNCTION("""COMPUTED_VALUE"""),"J")</f>
        <v>J</v>
      </c>
      <c r="G1134" s="189">
        <f ca="1">IFERROR(__xludf.DUMMYFUNCTION("""COMPUTED_VALUE"""),6)</f>
        <v>6</v>
      </c>
      <c r="H1134" s="196"/>
      <c r="I1134" s="196"/>
      <c r="J1134" s="196"/>
      <c r="K1134" s="196"/>
      <c r="L1134" s="196" t="str">
        <v/>
      </c>
      <c r="M1134" s="196"/>
    </row>
    <row r="1135" spans="1:13" ht="14.4" x14ac:dyDescent="0.3">
      <c r="A1135" s="189" t="str">
        <f ca="1">IFERROR(__xludf.DUMMYFUNCTION("""COMPUTED_VALUE"""),"M")</f>
        <v>M</v>
      </c>
      <c r="B1135" s="195" t="str">
        <f ca="1">IFERROR(__xludf.DUMMYFUNCTION("""COMPUTED_VALUE"""),"Annabel Rider")</f>
        <v>Annabel Rider</v>
      </c>
      <c r="C1135" s="189">
        <f ca="1">IFERROR(__xludf.DUMMYFUNCTION("""COMPUTED_VALUE"""),10)</f>
        <v>10</v>
      </c>
      <c r="D1135" s="189" t="str">
        <f ca="1">IFERROR(__xludf.DUMMYFUNCTION("""COMPUTED_VALUE"""),"G")</f>
        <v>G</v>
      </c>
      <c r="E1135" s="189" t="str">
        <f ca="1">IFERROR(__xludf.DUMMYFUNCTION("""COMPUTED_VALUE"""),"F")</f>
        <v>F</v>
      </c>
      <c r="F1135" s="189" t="str">
        <f ca="1">IFERROR(__xludf.DUMMYFUNCTION("""COMPUTED_VALUE"""),"J")</f>
        <v>J</v>
      </c>
      <c r="G1135" s="189">
        <f ca="1">IFERROR(__xludf.DUMMYFUNCTION("""COMPUTED_VALUE"""),6)</f>
        <v>6</v>
      </c>
      <c r="H1135" s="196" t="s">
        <v>478</v>
      </c>
      <c r="I1135" s="196"/>
      <c r="J1135" s="196" t="s">
        <v>29</v>
      </c>
      <c r="K1135" s="196"/>
      <c r="L1135" s="196" t="str">
        <v xml:space="preserve"> 35.50</v>
      </c>
      <c r="M1135" s="196"/>
    </row>
    <row r="1136" spans="1:13" ht="14.4" x14ac:dyDescent="0.3">
      <c r="A1136" s="189" t="str">
        <f ca="1">IFERROR(__xludf.DUMMYFUNCTION("""COMPUTED_VALUE"""),"M")</f>
        <v>M</v>
      </c>
      <c r="B1136" s="195" t="str">
        <f ca="1">IFERROR(__xludf.DUMMYFUNCTION("""COMPUTED_VALUE"""),"Cateleia Chu")</f>
        <v>Cateleia Chu</v>
      </c>
      <c r="C1136" s="189">
        <f ca="1">IFERROR(__xludf.DUMMYFUNCTION("""COMPUTED_VALUE"""),6)</f>
        <v>6</v>
      </c>
      <c r="D1136" s="189" t="str">
        <f ca="1">IFERROR(__xludf.DUMMYFUNCTION("""COMPUTED_VALUE"""),"G")</f>
        <v>G</v>
      </c>
      <c r="E1136" s="189" t="str">
        <f ca="1">IFERROR(__xludf.DUMMYFUNCTION("""COMPUTED_VALUE"""),"F")</f>
        <v>F</v>
      </c>
      <c r="F1136" s="189" t="str">
        <f ca="1">IFERROR(__xludf.DUMMYFUNCTION("""COMPUTED_VALUE"""),"J")</f>
        <v>J</v>
      </c>
      <c r="G1136" s="189">
        <f ca="1">IFERROR(__xludf.DUMMYFUNCTION("""COMPUTED_VALUE"""),6)</f>
        <v>6</v>
      </c>
      <c r="H1136" s="196"/>
      <c r="I1136" s="196"/>
      <c r="J1136" s="196"/>
      <c r="K1136" s="196"/>
      <c r="L1136" s="196" t="str">
        <v/>
      </c>
      <c r="M1136" s="196"/>
    </row>
    <row r="1137" spans="1:13" ht="14.4" x14ac:dyDescent="0.3">
      <c r="A1137" s="189" t="str">
        <f ca="1">IFERROR(__xludf.DUMMYFUNCTION("""COMPUTED_VALUE"""),"M")</f>
        <v>M</v>
      </c>
      <c r="B1137" s="195" t="str">
        <f ca="1">IFERROR(__xludf.DUMMYFUNCTION("""COMPUTED_VALUE"""),"Erin Dougherty")</f>
        <v>Erin Dougherty</v>
      </c>
      <c r="C1137" s="189">
        <f ca="1">IFERROR(__xludf.DUMMYFUNCTION("""COMPUTED_VALUE"""),10)</f>
        <v>10</v>
      </c>
      <c r="D1137" s="189" t="str">
        <f ca="1">IFERROR(__xludf.DUMMYFUNCTION("""COMPUTED_VALUE"""),"G")</f>
        <v>G</v>
      </c>
      <c r="E1137" s="189" t="str">
        <f ca="1">IFERROR(__xludf.DUMMYFUNCTION("""COMPUTED_VALUE"""),"F")</f>
        <v>F</v>
      </c>
      <c r="F1137" s="189" t="str">
        <f ca="1">IFERROR(__xludf.DUMMYFUNCTION("""COMPUTED_VALUE"""),"J")</f>
        <v>J</v>
      </c>
      <c r="G1137" s="189">
        <f ca="1">IFERROR(__xludf.DUMMYFUNCTION("""COMPUTED_VALUE"""),6)</f>
        <v>6</v>
      </c>
      <c r="H1137" s="196"/>
      <c r="I1137" s="196"/>
      <c r="J1137" s="196"/>
      <c r="K1137" s="196"/>
      <c r="L1137" s="196" t="str">
        <v/>
      </c>
      <c r="M1137" s="196"/>
    </row>
    <row r="1138" spans="1:13" ht="14.4" x14ac:dyDescent="0.3">
      <c r="A1138" s="189" t="str">
        <f ca="1">IFERROR(__xludf.DUMMYFUNCTION("""COMPUTED_VALUE"""),"M")</f>
        <v>M</v>
      </c>
      <c r="B1138" s="195" t="str">
        <f ca="1">IFERROR(__xludf.DUMMYFUNCTION("""COMPUTED_VALUE"""),"Erin Pinchas")</f>
        <v>Erin Pinchas</v>
      </c>
      <c r="C1138" s="189">
        <f ca="1">IFERROR(__xludf.DUMMYFUNCTION("""COMPUTED_VALUE"""),10)</f>
        <v>10</v>
      </c>
      <c r="D1138" s="189" t="str">
        <f ca="1">IFERROR(__xludf.DUMMYFUNCTION("""COMPUTED_VALUE"""),"G")</f>
        <v>G</v>
      </c>
      <c r="E1138" s="189" t="str">
        <f ca="1">IFERROR(__xludf.DUMMYFUNCTION("""COMPUTED_VALUE"""),"F")</f>
        <v>F</v>
      </c>
      <c r="F1138" s="189" t="str">
        <f ca="1">IFERROR(__xludf.DUMMYFUNCTION("""COMPUTED_VALUE"""),"J")</f>
        <v>J</v>
      </c>
      <c r="G1138" s="189">
        <f ca="1">IFERROR(__xludf.DUMMYFUNCTION("""COMPUTED_VALUE"""),6)</f>
        <v>6</v>
      </c>
      <c r="H1138" s="196" t="s">
        <v>479</v>
      </c>
      <c r="I1138" s="196"/>
      <c r="J1138" s="196" t="s">
        <v>29</v>
      </c>
      <c r="K1138" s="196"/>
      <c r="L1138" s="196" t="str">
        <v xml:space="preserve"> 58.50</v>
      </c>
      <c r="M1138" s="196"/>
    </row>
    <row r="1139" spans="1:13" ht="14.4" x14ac:dyDescent="0.3">
      <c r="A1139" s="189" t="str">
        <f ca="1">IFERROR(__xludf.DUMMYFUNCTION("""COMPUTED_VALUE"""),"M")</f>
        <v>M</v>
      </c>
      <c r="B1139" s="195" t="str">
        <f ca="1">IFERROR(__xludf.DUMMYFUNCTION("""COMPUTED_VALUE"""),"Isabel Benavides")</f>
        <v>Isabel Benavides</v>
      </c>
      <c r="C1139" s="189">
        <f ca="1">IFERROR(__xludf.DUMMYFUNCTION("""COMPUTED_VALUE"""),7)</f>
        <v>7</v>
      </c>
      <c r="D1139" s="189" t="str">
        <f ca="1">IFERROR(__xludf.DUMMYFUNCTION("""COMPUTED_VALUE"""),"G")</f>
        <v>G</v>
      </c>
      <c r="E1139" s="189" t="str">
        <f ca="1">IFERROR(__xludf.DUMMYFUNCTION("""COMPUTED_VALUE"""),"F")</f>
        <v>F</v>
      </c>
      <c r="F1139" s="189" t="str">
        <f ca="1">IFERROR(__xludf.DUMMYFUNCTION("""COMPUTED_VALUE"""),"J")</f>
        <v>J</v>
      </c>
      <c r="G1139" s="189">
        <f ca="1">IFERROR(__xludf.DUMMYFUNCTION("""COMPUTED_VALUE"""),6)</f>
        <v>6</v>
      </c>
      <c r="H1139" s="196"/>
      <c r="I1139" s="196"/>
      <c r="J1139" s="196"/>
      <c r="K1139" s="196"/>
      <c r="L1139" s="196" t="str">
        <v/>
      </c>
      <c r="M1139" s="196"/>
    </row>
    <row r="1140" spans="1:13" ht="14.4" x14ac:dyDescent="0.3">
      <c r="A1140" s="189" t="str">
        <f ca="1">IFERROR(__xludf.DUMMYFUNCTION("""COMPUTED_VALUE"""),"M")</f>
        <v>M</v>
      </c>
      <c r="B1140" s="195" t="str">
        <f ca="1">IFERROR(__xludf.DUMMYFUNCTION("""COMPUTED_VALUE"""),"Leila White")</f>
        <v>Leila White</v>
      </c>
      <c r="C1140" s="189">
        <f ca="1">IFERROR(__xludf.DUMMYFUNCTION("""COMPUTED_VALUE"""),10)</f>
        <v>10</v>
      </c>
      <c r="D1140" s="189" t="str">
        <f ca="1">IFERROR(__xludf.DUMMYFUNCTION("""COMPUTED_VALUE"""),"G")</f>
        <v>G</v>
      </c>
      <c r="E1140" s="189" t="str">
        <f ca="1">IFERROR(__xludf.DUMMYFUNCTION("""COMPUTED_VALUE"""),"F")</f>
        <v>F</v>
      </c>
      <c r="F1140" s="189" t="str">
        <f ca="1">IFERROR(__xludf.DUMMYFUNCTION("""COMPUTED_VALUE"""),"J")</f>
        <v>J</v>
      </c>
      <c r="G1140" s="189">
        <f ca="1">IFERROR(__xludf.DUMMYFUNCTION("""COMPUTED_VALUE"""),6)</f>
        <v>6</v>
      </c>
      <c r="H1140" s="196" t="s">
        <v>480</v>
      </c>
      <c r="I1140" s="196"/>
      <c r="J1140" s="196" t="s">
        <v>29</v>
      </c>
      <c r="K1140" s="196"/>
      <c r="L1140" s="196" t="str">
        <v xml:space="preserve"> 74.70</v>
      </c>
      <c r="M1140" s="196"/>
    </row>
    <row r="1141" spans="1:13" ht="14.4" x14ac:dyDescent="0.3">
      <c r="A1141" s="189" t="str">
        <f ca="1">IFERROR(__xludf.DUMMYFUNCTION("""COMPUTED_VALUE"""),"M")</f>
        <v>M</v>
      </c>
      <c r="B1141" s="195" t="str">
        <f ca="1">IFERROR(__xludf.DUMMYFUNCTION("""COMPUTED_VALUE"""),"Lilliana Chu")</f>
        <v>Lilliana Chu</v>
      </c>
      <c r="C1141" s="189">
        <f ca="1">IFERROR(__xludf.DUMMYFUNCTION("""COMPUTED_VALUE"""),9)</f>
        <v>9</v>
      </c>
      <c r="D1141" s="189" t="str">
        <f ca="1">IFERROR(__xludf.DUMMYFUNCTION("""COMPUTED_VALUE"""),"G")</f>
        <v>G</v>
      </c>
      <c r="E1141" s="189" t="str">
        <f ca="1">IFERROR(__xludf.DUMMYFUNCTION("""COMPUTED_VALUE"""),"F")</f>
        <v>F</v>
      </c>
      <c r="F1141" s="189" t="str">
        <f ca="1">IFERROR(__xludf.DUMMYFUNCTION("""COMPUTED_VALUE"""),"J")</f>
        <v>J</v>
      </c>
      <c r="G1141" s="189">
        <f ca="1">IFERROR(__xludf.DUMMYFUNCTION("""COMPUTED_VALUE"""),6)</f>
        <v>6</v>
      </c>
      <c r="H1141" s="196"/>
      <c r="I1141" s="196"/>
      <c r="J1141" s="196"/>
      <c r="K1141" s="196"/>
      <c r="L1141" s="196" t="str">
        <v/>
      </c>
      <c r="M1141" s="196"/>
    </row>
    <row r="1142" spans="1:13" ht="14.4" x14ac:dyDescent="0.3">
      <c r="A1142" s="189" t="str">
        <f ca="1">IFERROR(__xludf.DUMMYFUNCTION("""COMPUTED_VALUE"""),"M")</f>
        <v>M</v>
      </c>
      <c r="B1142" s="195" t="str">
        <f ca="1">IFERROR(__xludf.DUMMYFUNCTION("""COMPUTED_VALUE"""),"Luca Hennessey-Carter")</f>
        <v>Luca Hennessey-Carter</v>
      </c>
      <c r="C1142" s="189">
        <f ca="1">IFERROR(__xludf.DUMMYFUNCTION("""COMPUTED_VALUE"""),8)</f>
        <v>8</v>
      </c>
      <c r="D1142" s="189" t="str">
        <f ca="1">IFERROR(__xludf.DUMMYFUNCTION("""COMPUTED_VALUE"""),"G")</f>
        <v>G</v>
      </c>
      <c r="E1142" s="189" t="str">
        <f ca="1">IFERROR(__xludf.DUMMYFUNCTION("""COMPUTED_VALUE"""),"F")</f>
        <v>F</v>
      </c>
      <c r="F1142" s="189" t="str">
        <f ca="1">IFERROR(__xludf.DUMMYFUNCTION("""COMPUTED_VALUE"""),"J")</f>
        <v>J</v>
      </c>
      <c r="G1142" s="189">
        <f ca="1">IFERROR(__xludf.DUMMYFUNCTION("""COMPUTED_VALUE"""),6)</f>
        <v>6</v>
      </c>
      <c r="H1142" s="196"/>
      <c r="I1142" s="196"/>
      <c r="J1142" s="196"/>
      <c r="K1142" s="196"/>
      <c r="L1142" s="196" t="str">
        <v/>
      </c>
      <c r="M1142" s="196"/>
    </row>
    <row r="1143" spans="1:13" ht="14.4" x14ac:dyDescent="0.3">
      <c r="A1143" s="189" t="str">
        <f ca="1">IFERROR(__xludf.DUMMYFUNCTION("""COMPUTED_VALUE"""),"M")</f>
        <v>M</v>
      </c>
      <c r="B1143" s="195" t="str">
        <f ca="1">IFERROR(__xludf.DUMMYFUNCTION("""COMPUTED_VALUE"""),"Margaret Rider")</f>
        <v>Margaret Rider</v>
      </c>
      <c r="C1143" s="189">
        <f ca="1">IFERROR(__xludf.DUMMYFUNCTION("""COMPUTED_VALUE"""),8)</f>
        <v>8</v>
      </c>
      <c r="D1143" s="189" t="str">
        <f ca="1">IFERROR(__xludf.DUMMYFUNCTION("""COMPUTED_VALUE"""),"G")</f>
        <v>G</v>
      </c>
      <c r="E1143" s="189" t="str">
        <f ca="1">IFERROR(__xludf.DUMMYFUNCTION("""COMPUTED_VALUE"""),"F")</f>
        <v>F</v>
      </c>
      <c r="F1143" s="189" t="str">
        <f ca="1">IFERROR(__xludf.DUMMYFUNCTION("""COMPUTED_VALUE"""),"J")</f>
        <v>J</v>
      </c>
      <c r="G1143" s="189">
        <f ca="1">IFERROR(__xludf.DUMMYFUNCTION("""COMPUTED_VALUE"""),6)</f>
        <v>6</v>
      </c>
      <c r="H1143" s="196"/>
      <c r="I1143" s="196"/>
      <c r="J1143" s="196"/>
      <c r="K1143" s="196"/>
      <c r="L1143" s="196" t="str">
        <v/>
      </c>
      <c r="M1143" s="196"/>
    </row>
    <row r="1144" spans="1:13" ht="14.4" x14ac:dyDescent="0.3">
      <c r="A1144" s="189" t="str">
        <f ca="1">IFERROR(__xludf.DUMMYFUNCTION("""COMPUTED_VALUE"""),"M")</f>
        <v>M</v>
      </c>
      <c r="B1144" s="195" t="str">
        <f ca="1">IFERROR(__xludf.DUMMYFUNCTION("""COMPUTED_VALUE"""),"Naomi Rios")</f>
        <v>Naomi Rios</v>
      </c>
      <c r="C1144" s="189">
        <f ca="1">IFERROR(__xludf.DUMMYFUNCTION("""COMPUTED_VALUE"""),10)</f>
        <v>10</v>
      </c>
      <c r="D1144" s="189" t="str">
        <f ca="1">IFERROR(__xludf.DUMMYFUNCTION("""COMPUTED_VALUE"""),"G")</f>
        <v>G</v>
      </c>
      <c r="E1144" s="189" t="str">
        <f ca="1">IFERROR(__xludf.DUMMYFUNCTION("""COMPUTED_VALUE"""),"F")</f>
        <v>F</v>
      </c>
      <c r="F1144" s="189" t="str">
        <f ca="1">IFERROR(__xludf.DUMMYFUNCTION("""COMPUTED_VALUE"""),"J")</f>
        <v>J</v>
      </c>
      <c r="G1144" s="189">
        <f ca="1">IFERROR(__xludf.DUMMYFUNCTION("""COMPUTED_VALUE"""),6)</f>
        <v>6</v>
      </c>
      <c r="H1144" s="196"/>
      <c r="I1144" s="196"/>
      <c r="J1144" s="196"/>
      <c r="K1144" s="196"/>
      <c r="L1144" s="196" t="str">
        <v/>
      </c>
      <c r="M1144" s="196"/>
    </row>
    <row r="1145" spans="1:13" ht="14.4" x14ac:dyDescent="0.3">
      <c r="A1145" s="189" t="str">
        <f ca="1">IFERROR(__xludf.DUMMYFUNCTION("""COMPUTED_VALUE"""),"M")</f>
        <v>M</v>
      </c>
      <c r="B1145" s="195" t="str">
        <f ca="1">IFERROR(__xludf.DUMMYFUNCTION("""COMPUTED_VALUE"""),"Nico Rios")</f>
        <v>Nico Rios</v>
      </c>
      <c r="C1145" s="189">
        <f ca="1">IFERROR(__xludf.DUMMYFUNCTION("""COMPUTED_VALUE"""),8)</f>
        <v>8</v>
      </c>
      <c r="D1145" s="189" t="str">
        <f ca="1">IFERROR(__xludf.DUMMYFUNCTION("""COMPUTED_VALUE"""),"G")</f>
        <v>G</v>
      </c>
      <c r="E1145" s="189" t="str">
        <f ca="1">IFERROR(__xludf.DUMMYFUNCTION("""COMPUTED_VALUE"""),"F")</f>
        <v>F</v>
      </c>
      <c r="F1145" s="189" t="str">
        <f ca="1">IFERROR(__xludf.DUMMYFUNCTION("""COMPUTED_VALUE"""),"J")</f>
        <v>J</v>
      </c>
      <c r="G1145" s="189">
        <f ca="1">IFERROR(__xludf.DUMMYFUNCTION("""COMPUTED_VALUE"""),6)</f>
        <v>6</v>
      </c>
      <c r="H1145" s="196"/>
      <c r="I1145" s="196"/>
      <c r="J1145" s="196"/>
      <c r="K1145" s="196"/>
      <c r="L1145" s="196" t="str">
        <v/>
      </c>
      <c r="M1145" s="196"/>
    </row>
    <row r="1146" spans="1:13" ht="14.4" x14ac:dyDescent="0.3">
      <c r="A1146" s="189" t="str">
        <f ca="1">IFERROR(__xludf.DUMMYFUNCTION("""COMPUTED_VALUE"""),"M")</f>
        <v>M</v>
      </c>
      <c r="B1146" s="195" t="str">
        <f ca="1">IFERROR(__xludf.DUMMYFUNCTION("""COMPUTED_VALUE"""),"Savannah Moore")</f>
        <v>Savannah Moore</v>
      </c>
      <c r="C1146" s="189">
        <f ca="1">IFERROR(__xludf.DUMMYFUNCTION("""COMPUTED_VALUE"""),10)</f>
        <v>10</v>
      </c>
      <c r="D1146" s="189" t="str">
        <f ca="1">IFERROR(__xludf.DUMMYFUNCTION("""COMPUTED_VALUE"""),"G")</f>
        <v>G</v>
      </c>
      <c r="E1146" s="189" t="str">
        <f ca="1">IFERROR(__xludf.DUMMYFUNCTION("""COMPUTED_VALUE"""),"F")</f>
        <v>F</v>
      </c>
      <c r="F1146" s="189" t="str">
        <f ca="1">IFERROR(__xludf.DUMMYFUNCTION("""COMPUTED_VALUE"""),"J")</f>
        <v>J</v>
      </c>
      <c r="G1146" s="189">
        <f ca="1">IFERROR(__xludf.DUMMYFUNCTION("""COMPUTED_VALUE"""),6)</f>
        <v>6</v>
      </c>
      <c r="H1146" s="196" t="s">
        <v>481</v>
      </c>
      <c r="I1146" s="196"/>
      <c r="J1146" s="196" t="s">
        <v>29</v>
      </c>
      <c r="K1146" s="196"/>
      <c r="L1146" s="196" t="str">
        <v xml:space="preserve"> 18.60</v>
      </c>
      <c r="M1146" s="196"/>
    </row>
    <row r="1147" spans="1:13" ht="14.4" x14ac:dyDescent="0.3">
      <c r="A1147" s="189" t="str">
        <f ca="1">IFERROR(__xludf.DUMMYFUNCTION("""COMPUTED_VALUE"""),"M")</f>
        <v>M</v>
      </c>
      <c r="B1147" s="195" t="str">
        <f ca="1">IFERROR(__xludf.DUMMYFUNCTION("""COMPUTED_VALUE"""),"Chase Burke")</f>
        <v>Chase Burke</v>
      </c>
      <c r="C1147" s="189">
        <f ca="1">IFERROR(__xludf.DUMMYFUNCTION("""COMPUTED_VALUE"""),8)</f>
        <v>8</v>
      </c>
      <c r="D1147" s="189" t="str">
        <f ca="1">IFERROR(__xludf.DUMMYFUNCTION("""COMPUTED_VALUE"""),"B")</f>
        <v>B</v>
      </c>
      <c r="E1147" s="189" t="str">
        <f ca="1">IFERROR(__xludf.DUMMYFUNCTION("""COMPUTED_VALUE"""),"F")</f>
        <v>F</v>
      </c>
      <c r="F1147" s="189" t="str">
        <f ca="1">IFERROR(__xludf.DUMMYFUNCTION("""COMPUTED_VALUE"""),"J")</f>
        <v>J</v>
      </c>
      <c r="G1147" s="189">
        <f ca="1">IFERROR(__xludf.DUMMYFUNCTION("""COMPUTED_VALUE"""),6)</f>
        <v>6</v>
      </c>
      <c r="H1147" s="196"/>
      <c r="I1147" s="196"/>
      <c r="J1147" s="196"/>
      <c r="K1147" s="196"/>
      <c r="L1147" s="196" t="str">
        <v/>
      </c>
      <c r="M1147" s="196"/>
    </row>
    <row r="1148" spans="1:13" ht="14.4" x14ac:dyDescent="0.3">
      <c r="A1148" s="189" t="str">
        <f ca="1">IFERROR(__xludf.DUMMYFUNCTION("""COMPUTED_VALUE"""),"M")</f>
        <v>M</v>
      </c>
      <c r="B1148" s="195" t="str">
        <f ca="1">IFERROR(__xludf.DUMMYFUNCTION("""COMPUTED_VALUE"""),"Drew Laursen")</f>
        <v>Drew Laursen</v>
      </c>
      <c r="C1148" s="189">
        <f ca="1">IFERROR(__xludf.DUMMYFUNCTION("""COMPUTED_VALUE"""),10)</f>
        <v>10</v>
      </c>
      <c r="D1148" s="189" t="str">
        <f ca="1">IFERROR(__xludf.DUMMYFUNCTION("""COMPUTED_VALUE"""),"B")</f>
        <v>B</v>
      </c>
      <c r="E1148" s="189" t="str">
        <f ca="1">IFERROR(__xludf.DUMMYFUNCTION("""COMPUTED_VALUE"""),"F")</f>
        <v>F</v>
      </c>
      <c r="F1148" s="189" t="str">
        <f ca="1">IFERROR(__xludf.DUMMYFUNCTION("""COMPUTED_VALUE"""),"J")</f>
        <v>J</v>
      </c>
      <c r="G1148" s="189">
        <f ca="1">IFERROR(__xludf.DUMMYFUNCTION("""COMPUTED_VALUE"""),6)</f>
        <v>6</v>
      </c>
      <c r="H1148" s="196"/>
      <c r="I1148" s="196"/>
      <c r="J1148" s="196"/>
      <c r="K1148" s="196"/>
      <c r="L1148" s="196" t="str">
        <v/>
      </c>
      <c r="M1148" s="196"/>
    </row>
    <row r="1149" spans="1:13" ht="14.4" x14ac:dyDescent="0.3">
      <c r="A1149" s="189" t="str">
        <f ca="1">IFERROR(__xludf.DUMMYFUNCTION("""COMPUTED_VALUE"""),"M")</f>
        <v>M</v>
      </c>
      <c r="B1149" s="195" t="str">
        <f ca="1">IFERROR(__xludf.DUMMYFUNCTION("""COMPUTED_VALUE"""),"Eli White")</f>
        <v>Eli White</v>
      </c>
      <c r="C1149" s="189">
        <f ca="1">IFERROR(__xludf.DUMMYFUNCTION("""COMPUTED_VALUE"""),10)</f>
        <v>10</v>
      </c>
      <c r="D1149" s="189" t="str">
        <f ca="1">IFERROR(__xludf.DUMMYFUNCTION("""COMPUTED_VALUE"""),"B")</f>
        <v>B</v>
      </c>
      <c r="E1149" s="189" t="str">
        <f ca="1">IFERROR(__xludf.DUMMYFUNCTION("""COMPUTED_VALUE"""),"F")</f>
        <v>F</v>
      </c>
      <c r="F1149" s="189" t="str">
        <f ca="1">IFERROR(__xludf.DUMMYFUNCTION("""COMPUTED_VALUE"""),"J")</f>
        <v>J</v>
      </c>
      <c r="G1149" s="189">
        <f ca="1">IFERROR(__xludf.DUMMYFUNCTION("""COMPUTED_VALUE"""),6)</f>
        <v>6</v>
      </c>
      <c r="H1149" s="196" t="s">
        <v>482</v>
      </c>
      <c r="I1149" s="196"/>
      <c r="J1149" s="196" t="s">
        <v>29</v>
      </c>
      <c r="K1149" s="196"/>
      <c r="L1149" s="196" t="str">
        <v xml:space="preserve"> 62.55</v>
      </c>
      <c r="M1149" s="196"/>
    </row>
    <row r="1150" spans="1:13" ht="14.4" x14ac:dyDescent="0.3">
      <c r="A1150" s="189" t="str">
        <f ca="1">IFERROR(__xludf.DUMMYFUNCTION("""COMPUTED_VALUE"""),"M")</f>
        <v>M</v>
      </c>
      <c r="B1150" s="195" t="str">
        <f ca="1">IFERROR(__xludf.DUMMYFUNCTION("""COMPUTED_VALUE"""),"Liam Redington")</f>
        <v>Liam Redington</v>
      </c>
      <c r="C1150" s="189">
        <f ca="1">IFERROR(__xludf.DUMMYFUNCTION("""COMPUTED_VALUE"""),9)</f>
        <v>9</v>
      </c>
      <c r="D1150" s="189" t="str">
        <f ca="1">IFERROR(__xludf.DUMMYFUNCTION("""COMPUTED_VALUE"""),"B")</f>
        <v>B</v>
      </c>
      <c r="E1150" s="189" t="str">
        <f ca="1">IFERROR(__xludf.DUMMYFUNCTION("""COMPUTED_VALUE"""),"F")</f>
        <v>F</v>
      </c>
      <c r="F1150" s="189" t="str">
        <f ca="1">IFERROR(__xludf.DUMMYFUNCTION("""COMPUTED_VALUE"""),"J")</f>
        <v>J</v>
      </c>
      <c r="G1150" s="189">
        <f ca="1">IFERROR(__xludf.DUMMYFUNCTION("""COMPUTED_VALUE"""),6)</f>
        <v>6</v>
      </c>
      <c r="H1150" s="196" t="s">
        <v>483</v>
      </c>
      <c r="I1150" s="196"/>
      <c r="J1150" s="196" t="s">
        <v>29</v>
      </c>
      <c r="K1150" s="196"/>
      <c r="L1150" s="196" t="str">
        <v xml:space="preserve"> 37.25</v>
      </c>
      <c r="M1150" s="196"/>
    </row>
    <row r="1151" spans="1:13" ht="14.4" x14ac:dyDescent="0.3">
      <c r="A1151" s="189" t="str">
        <f ca="1">IFERROR(__xludf.DUMMYFUNCTION("""COMPUTED_VALUE"""),"M")</f>
        <v>M</v>
      </c>
      <c r="B1151" s="195" t="str">
        <f ca="1">IFERROR(__xludf.DUMMYFUNCTION("""COMPUTED_VALUE"""),"Miles McWilliams")</f>
        <v>Miles McWilliams</v>
      </c>
      <c r="C1151" s="189">
        <f ca="1">IFERROR(__xludf.DUMMYFUNCTION("""COMPUTED_VALUE"""),9)</f>
        <v>9</v>
      </c>
      <c r="D1151" s="189" t="str">
        <f ca="1">IFERROR(__xludf.DUMMYFUNCTION("""COMPUTED_VALUE"""),"B")</f>
        <v>B</v>
      </c>
      <c r="E1151" s="189" t="str">
        <f ca="1">IFERROR(__xludf.DUMMYFUNCTION("""COMPUTED_VALUE"""),"F")</f>
        <v>F</v>
      </c>
      <c r="F1151" s="189" t="str">
        <f ca="1">IFERROR(__xludf.DUMMYFUNCTION("""COMPUTED_VALUE"""),"J")</f>
        <v>J</v>
      </c>
      <c r="G1151" s="189">
        <f ca="1">IFERROR(__xludf.DUMMYFUNCTION("""COMPUTED_VALUE"""),6)</f>
        <v>6</v>
      </c>
      <c r="H1151" s="196" t="s">
        <v>484</v>
      </c>
      <c r="I1151" s="196"/>
      <c r="J1151" s="196" t="s">
        <v>29</v>
      </c>
      <c r="K1151" s="196"/>
      <c r="L1151" s="196" t="str">
        <v xml:space="preserve"> 17.05</v>
      </c>
      <c r="M1151" s="196"/>
    </row>
    <row r="1152" spans="1:13" ht="14.4" x14ac:dyDescent="0.3">
      <c r="A1152" s="189" t="str">
        <f ca="1">IFERROR(__xludf.DUMMYFUNCTION("""COMPUTED_VALUE"""),"M")</f>
        <v>M</v>
      </c>
      <c r="B1152" s="195" t="str">
        <f ca="1">IFERROR(__xludf.DUMMYFUNCTION("""COMPUTED_VALUE"""),"Travis Smith")</f>
        <v>Travis Smith</v>
      </c>
      <c r="C1152" s="189">
        <f ca="1">IFERROR(__xludf.DUMMYFUNCTION("""COMPUTED_VALUE"""),10)</f>
        <v>10</v>
      </c>
      <c r="D1152" s="189" t="str">
        <f ca="1">IFERROR(__xludf.DUMMYFUNCTION("""COMPUTED_VALUE"""),"B")</f>
        <v>B</v>
      </c>
      <c r="E1152" s="189" t="str">
        <f ca="1">IFERROR(__xludf.DUMMYFUNCTION("""COMPUTED_VALUE"""),"F")</f>
        <v>F</v>
      </c>
      <c r="F1152" s="189" t="str">
        <f ca="1">IFERROR(__xludf.DUMMYFUNCTION("""COMPUTED_VALUE"""),"J")</f>
        <v>J</v>
      </c>
      <c r="G1152" s="189">
        <f ca="1">IFERROR(__xludf.DUMMYFUNCTION("""COMPUTED_VALUE"""),6)</f>
        <v>6</v>
      </c>
      <c r="H1152" s="196"/>
      <c r="I1152" s="196"/>
      <c r="J1152" s="196"/>
      <c r="K1152" s="196"/>
      <c r="L1152" s="196" t="str">
        <v/>
      </c>
      <c r="M1152" s="196"/>
    </row>
    <row r="1153" spans="1:13" ht="14.4" x14ac:dyDescent="0.3">
      <c r="A1153" s="189" t="str">
        <f ca="1">IFERROR(__xludf.DUMMYFUNCTION("""COMPUTED_VALUE"""),"M")</f>
        <v>M</v>
      </c>
      <c r="B1153" s="195" t="str">
        <f ca="1">IFERROR(__xludf.DUMMYFUNCTION("""COMPUTED_VALUE"""),"Eva Schwenzer")</f>
        <v>Eva Schwenzer</v>
      </c>
      <c r="C1153" s="189">
        <f ca="1">IFERROR(__xludf.DUMMYFUNCTION("""COMPUTED_VALUE"""),14)</f>
        <v>14</v>
      </c>
      <c r="D1153" s="189" t="str">
        <f ca="1">IFERROR(__xludf.DUMMYFUNCTION("""COMPUTED_VALUE"""),"G")</f>
        <v>G</v>
      </c>
      <c r="E1153" s="189" t="str">
        <f ca="1">IFERROR(__xludf.DUMMYFUNCTION("""COMPUTED_VALUE"""),"I")</f>
        <v>I</v>
      </c>
      <c r="F1153" s="189" t="str">
        <f ca="1">IFERROR(__xludf.DUMMYFUNCTION("""COMPUTED_VALUE"""),"S")</f>
        <v>S</v>
      </c>
      <c r="G1153" s="189">
        <f ca="1">IFERROR(__xludf.DUMMYFUNCTION("""COMPUTED_VALUE"""),6)</f>
        <v>6</v>
      </c>
      <c r="H1153" s="196"/>
      <c r="I1153" s="196"/>
      <c r="J1153" s="196"/>
      <c r="K1153" s="196"/>
      <c r="L1153" s="196" t="str">
        <v/>
      </c>
      <c r="M1153" s="196"/>
    </row>
    <row r="1154" spans="1:13" ht="14.4" x14ac:dyDescent="0.3">
      <c r="A1154" s="189" t="str">
        <f ca="1">IFERROR(__xludf.DUMMYFUNCTION("""COMPUTED_VALUE"""),"M")</f>
        <v>M</v>
      </c>
      <c r="B1154" s="195" t="str">
        <f ca="1">IFERROR(__xludf.DUMMYFUNCTION("""COMPUTED_VALUE"""),"Lydia Tetreault")</f>
        <v>Lydia Tetreault</v>
      </c>
      <c r="C1154" s="189">
        <f ca="1">IFERROR(__xludf.DUMMYFUNCTION("""COMPUTED_VALUE"""),14)</f>
        <v>14</v>
      </c>
      <c r="D1154" s="189" t="str">
        <f ca="1">IFERROR(__xludf.DUMMYFUNCTION("""COMPUTED_VALUE"""),"G")</f>
        <v>G</v>
      </c>
      <c r="E1154" s="189" t="str">
        <f ca="1">IFERROR(__xludf.DUMMYFUNCTION("""COMPUTED_VALUE"""),"I")</f>
        <v>I</v>
      </c>
      <c r="F1154" s="189" t="str">
        <f ca="1">IFERROR(__xludf.DUMMYFUNCTION("""COMPUTED_VALUE"""),"S")</f>
        <v>S</v>
      </c>
      <c r="G1154" s="189">
        <f ca="1">IFERROR(__xludf.DUMMYFUNCTION("""COMPUTED_VALUE"""),6)</f>
        <v>6</v>
      </c>
      <c r="H1154" s="196"/>
      <c r="I1154" s="196"/>
      <c r="J1154" s="196"/>
      <c r="K1154" s="196"/>
      <c r="L1154" s="196" t="str">
        <v/>
      </c>
      <c r="M1154" s="196"/>
    </row>
    <row r="1155" spans="1:13" ht="14.4" x14ac:dyDescent="0.3">
      <c r="A1155" s="189" t="str">
        <f ca="1">IFERROR(__xludf.DUMMYFUNCTION("""COMPUTED_VALUE"""),"M")</f>
        <v>M</v>
      </c>
      <c r="B1155" s="195" t="str">
        <f ca="1">IFERROR(__xludf.DUMMYFUNCTION("""COMPUTED_VALUE"""),"Maggie Johnston")</f>
        <v>Maggie Johnston</v>
      </c>
      <c r="C1155" s="189">
        <f ca="1">IFERROR(__xludf.DUMMYFUNCTION("""COMPUTED_VALUE"""),13)</f>
        <v>13</v>
      </c>
      <c r="D1155" s="189" t="str">
        <f ca="1">IFERROR(__xludf.DUMMYFUNCTION("""COMPUTED_VALUE"""),"G")</f>
        <v>G</v>
      </c>
      <c r="E1155" s="189" t="str">
        <f ca="1">IFERROR(__xludf.DUMMYFUNCTION("""COMPUTED_VALUE"""),"I")</f>
        <v>I</v>
      </c>
      <c r="F1155" s="189" t="str">
        <f ca="1">IFERROR(__xludf.DUMMYFUNCTION("""COMPUTED_VALUE"""),"S")</f>
        <v>S</v>
      </c>
      <c r="G1155" s="189">
        <f ca="1">IFERROR(__xludf.DUMMYFUNCTION("""COMPUTED_VALUE"""),6)</f>
        <v>6</v>
      </c>
      <c r="H1155" s="196" t="s">
        <v>238</v>
      </c>
      <c r="I1155" s="196"/>
      <c r="J1155" s="196" t="s">
        <v>29</v>
      </c>
      <c r="K1155" s="196"/>
      <c r="L1155" s="196" t="str">
        <v xml:space="preserve"> 100.40</v>
      </c>
      <c r="M1155" s="196"/>
    </row>
    <row r="1156" spans="1:13" ht="14.4" x14ac:dyDescent="0.3">
      <c r="A1156" s="189" t="str">
        <f ca="1">IFERROR(__xludf.DUMMYFUNCTION("""COMPUTED_VALUE"""),"M")</f>
        <v>M</v>
      </c>
      <c r="B1156" s="195" t="str">
        <f ca="1">IFERROR(__xludf.DUMMYFUNCTION("""COMPUTED_VALUE"""),"Maggie Levi")</f>
        <v>Maggie Levi</v>
      </c>
      <c r="C1156" s="189">
        <f ca="1">IFERROR(__xludf.DUMMYFUNCTION("""COMPUTED_VALUE"""),13)</f>
        <v>13</v>
      </c>
      <c r="D1156" s="189" t="str">
        <f ca="1">IFERROR(__xludf.DUMMYFUNCTION("""COMPUTED_VALUE"""),"G")</f>
        <v>G</v>
      </c>
      <c r="E1156" s="189" t="str">
        <f ca="1">IFERROR(__xludf.DUMMYFUNCTION("""COMPUTED_VALUE"""),"I")</f>
        <v>I</v>
      </c>
      <c r="F1156" s="189" t="str">
        <f ca="1">IFERROR(__xludf.DUMMYFUNCTION("""COMPUTED_VALUE"""),"S")</f>
        <v>S</v>
      </c>
      <c r="G1156" s="189">
        <f ca="1">IFERROR(__xludf.DUMMYFUNCTION("""COMPUTED_VALUE"""),6)</f>
        <v>6</v>
      </c>
      <c r="H1156" s="196" t="s">
        <v>485</v>
      </c>
      <c r="I1156" s="196"/>
      <c r="J1156" s="196" t="s">
        <v>29</v>
      </c>
      <c r="K1156" s="196"/>
      <c r="L1156" s="196" t="str">
        <v xml:space="preserve"> 89.40</v>
      </c>
      <c r="M1156" s="196"/>
    </row>
    <row r="1157" spans="1:13" ht="14.4" x14ac:dyDescent="0.3">
      <c r="A1157" s="189" t="str">
        <f ca="1">IFERROR(__xludf.DUMMYFUNCTION("""COMPUTED_VALUE"""),"M")</f>
        <v>M</v>
      </c>
      <c r="B1157" s="195" t="str">
        <f ca="1">IFERROR(__xludf.DUMMYFUNCTION("""COMPUTED_VALUE"""),"Sophia Kemp")</f>
        <v>Sophia Kemp</v>
      </c>
      <c r="C1157" s="189">
        <f ca="1">IFERROR(__xludf.DUMMYFUNCTION("""COMPUTED_VALUE"""),13)</f>
        <v>13</v>
      </c>
      <c r="D1157" s="189" t="str">
        <f ca="1">IFERROR(__xludf.DUMMYFUNCTION("""COMPUTED_VALUE"""),"G")</f>
        <v>G</v>
      </c>
      <c r="E1157" s="189" t="str">
        <f ca="1">IFERROR(__xludf.DUMMYFUNCTION("""COMPUTED_VALUE"""),"I")</f>
        <v>I</v>
      </c>
      <c r="F1157" s="189" t="str">
        <f ca="1">IFERROR(__xludf.DUMMYFUNCTION("""COMPUTED_VALUE"""),"S")</f>
        <v>S</v>
      </c>
      <c r="G1157" s="189">
        <f ca="1">IFERROR(__xludf.DUMMYFUNCTION("""COMPUTED_VALUE"""),6)</f>
        <v>6</v>
      </c>
      <c r="H1157" s="196"/>
      <c r="I1157" s="196"/>
      <c r="J1157" s="196"/>
      <c r="K1157" s="196"/>
      <c r="L1157" s="196" t="str">
        <v/>
      </c>
      <c r="M1157" s="196"/>
    </row>
    <row r="1158" spans="1:13" ht="14.4" x14ac:dyDescent="0.3">
      <c r="A1158" s="189" t="str">
        <f ca="1">IFERROR(__xludf.DUMMYFUNCTION("""COMPUTED_VALUE"""),"M")</f>
        <v>M</v>
      </c>
      <c r="B1158" s="195" t="str">
        <f ca="1">IFERROR(__xludf.DUMMYFUNCTION("""COMPUTED_VALUE"""),"Catherine Redington")</f>
        <v>Catherine Redington</v>
      </c>
      <c r="C1158" s="189">
        <f ca="1">IFERROR(__xludf.DUMMYFUNCTION("""COMPUTED_VALUE"""),12)</f>
        <v>12</v>
      </c>
      <c r="D1158" s="189" t="str">
        <f ca="1">IFERROR(__xludf.DUMMYFUNCTION("""COMPUTED_VALUE"""),"G")</f>
        <v>G</v>
      </c>
      <c r="E1158" s="189" t="str">
        <f ca="1">IFERROR(__xludf.DUMMYFUNCTION("""COMPUTED_VALUE"""),"J")</f>
        <v>J</v>
      </c>
      <c r="F1158" s="189" t="str">
        <f ca="1">IFERROR(__xludf.DUMMYFUNCTION("""COMPUTED_VALUE"""),"I")</f>
        <v>I</v>
      </c>
      <c r="G1158" s="189">
        <f ca="1">IFERROR(__xludf.DUMMYFUNCTION("""COMPUTED_VALUE"""),6)</f>
        <v>6</v>
      </c>
      <c r="H1158" s="196"/>
      <c r="I1158" s="196"/>
      <c r="J1158" s="196"/>
      <c r="K1158" s="196"/>
      <c r="L1158" s="196" t="str">
        <v/>
      </c>
      <c r="M1158" s="196"/>
    </row>
    <row r="1159" spans="1:13" ht="14.4" x14ac:dyDescent="0.3">
      <c r="A1159" s="189" t="str">
        <f ca="1">IFERROR(__xludf.DUMMYFUNCTION("""COMPUTED_VALUE"""),"M")</f>
        <v>M</v>
      </c>
      <c r="B1159" s="195" t="str">
        <f ca="1">IFERROR(__xludf.DUMMYFUNCTION("""COMPUTED_VALUE"""),"Emily Wills")</f>
        <v>Emily Wills</v>
      </c>
      <c r="C1159" s="189">
        <f ca="1">IFERROR(__xludf.DUMMYFUNCTION("""COMPUTED_VALUE"""),12)</f>
        <v>12</v>
      </c>
      <c r="D1159" s="189" t="str">
        <f ca="1">IFERROR(__xludf.DUMMYFUNCTION("""COMPUTED_VALUE"""),"G")</f>
        <v>G</v>
      </c>
      <c r="E1159" s="189" t="str">
        <f ca="1">IFERROR(__xludf.DUMMYFUNCTION("""COMPUTED_VALUE"""),"J")</f>
        <v>J</v>
      </c>
      <c r="F1159" s="189" t="str">
        <f ca="1">IFERROR(__xludf.DUMMYFUNCTION("""COMPUTED_VALUE"""),"I")</f>
        <v>I</v>
      </c>
      <c r="G1159" s="189">
        <f ca="1">IFERROR(__xludf.DUMMYFUNCTION("""COMPUTED_VALUE"""),6)</f>
        <v>6</v>
      </c>
      <c r="H1159" s="196"/>
      <c r="I1159" s="196"/>
      <c r="J1159" s="196"/>
      <c r="K1159" s="196"/>
      <c r="L1159" s="196" t="str">
        <v/>
      </c>
      <c r="M1159" s="196"/>
    </row>
    <row r="1160" spans="1:13" ht="14.4" x14ac:dyDescent="0.3">
      <c r="A1160" s="189" t="str">
        <f ca="1">IFERROR(__xludf.DUMMYFUNCTION("""COMPUTED_VALUE"""),"M")</f>
        <v>M</v>
      </c>
      <c r="B1160" s="195" t="str">
        <f ca="1">IFERROR(__xludf.DUMMYFUNCTION("""COMPUTED_VALUE"""),"Jules Tetreault")</f>
        <v>Jules Tetreault</v>
      </c>
      <c r="C1160" s="189">
        <f ca="1">IFERROR(__xludf.DUMMYFUNCTION("""COMPUTED_VALUE"""),11)</f>
        <v>11</v>
      </c>
      <c r="D1160" s="189" t="str">
        <f ca="1">IFERROR(__xludf.DUMMYFUNCTION("""COMPUTED_VALUE"""),"G")</f>
        <v>G</v>
      </c>
      <c r="E1160" s="189" t="str">
        <f ca="1">IFERROR(__xludf.DUMMYFUNCTION("""COMPUTED_VALUE"""),"J")</f>
        <v>J</v>
      </c>
      <c r="F1160" s="189" t="str">
        <f ca="1">IFERROR(__xludf.DUMMYFUNCTION("""COMPUTED_VALUE"""),"I")</f>
        <v>I</v>
      </c>
      <c r="G1160" s="189">
        <f ca="1">IFERROR(__xludf.DUMMYFUNCTION("""COMPUTED_VALUE"""),6)</f>
        <v>6</v>
      </c>
      <c r="H1160" s="196"/>
      <c r="I1160" s="196"/>
      <c r="J1160" s="196"/>
      <c r="K1160" s="196"/>
      <c r="L1160" s="196" t="str">
        <v/>
      </c>
      <c r="M1160" s="196"/>
    </row>
    <row r="1161" spans="1:13" ht="14.4" x14ac:dyDescent="0.3">
      <c r="A1161" s="189" t="str">
        <f ca="1">IFERROR(__xludf.DUMMYFUNCTION("""COMPUTED_VALUE"""),"M")</f>
        <v>M</v>
      </c>
      <c r="B1161" s="195" t="str">
        <f ca="1">IFERROR(__xludf.DUMMYFUNCTION("""COMPUTED_VALUE"""),"Maxton Molina-Weir")</f>
        <v>Maxton Molina-Weir</v>
      </c>
      <c r="C1161" s="189">
        <f ca="1">IFERROR(__xludf.DUMMYFUNCTION("""COMPUTED_VALUE"""),12)</f>
        <v>12</v>
      </c>
      <c r="D1161" s="189" t="str">
        <f ca="1">IFERROR(__xludf.DUMMYFUNCTION("""COMPUTED_VALUE"""),"B")</f>
        <v>B</v>
      </c>
      <c r="E1161" s="189" t="str">
        <f ca="1">IFERROR(__xludf.DUMMYFUNCTION("""COMPUTED_VALUE"""),"J")</f>
        <v>J</v>
      </c>
      <c r="F1161" s="189" t="str">
        <f ca="1">IFERROR(__xludf.DUMMYFUNCTION("""COMPUTED_VALUE"""),"I")</f>
        <v>I</v>
      </c>
      <c r="G1161" s="189">
        <f ca="1">IFERROR(__xludf.DUMMYFUNCTION("""COMPUTED_VALUE"""),6)</f>
        <v>6</v>
      </c>
      <c r="H1161" s="196" t="s">
        <v>486</v>
      </c>
      <c r="I1161" s="196"/>
      <c r="J1161" s="196" t="s">
        <v>29</v>
      </c>
      <c r="K1161" s="196"/>
      <c r="L1161" s="196" t="str">
        <v xml:space="preserve"> 77.85</v>
      </c>
      <c r="M1161" s="196"/>
    </row>
    <row r="1162" spans="1:13" ht="14.4" x14ac:dyDescent="0.3">
      <c r="A1162" s="189" t="str">
        <f ca="1">IFERROR(__xludf.DUMMYFUNCTION("""COMPUTED_VALUE"""),"M")</f>
        <v>M</v>
      </c>
      <c r="B1162" s="195" t="str">
        <f ca="1">IFERROR(__xludf.DUMMYFUNCTION("""COMPUTED_VALUE"""),"Owen Molina-Weir")</f>
        <v>Owen Molina-Weir</v>
      </c>
      <c r="C1162" s="189">
        <f ca="1">IFERROR(__xludf.DUMMYFUNCTION("""COMPUTED_VALUE"""),12)</f>
        <v>12</v>
      </c>
      <c r="D1162" s="189" t="str">
        <f ca="1">IFERROR(__xludf.DUMMYFUNCTION("""COMPUTED_VALUE"""),"B")</f>
        <v>B</v>
      </c>
      <c r="E1162" s="189" t="str">
        <f ca="1">IFERROR(__xludf.DUMMYFUNCTION("""COMPUTED_VALUE"""),"J")</f>
        <v>J</v>
      </c>
      <c r="F1162" s="189" t="str">
        <f ca="1">IFERROR(__xludf.DUMMYFUNCTION("""COMPUTED_VALUE"""),"I")</f>
        <v>I</v>
      </c>
      <c r="G1162" s="189">
        <f ca="1">IFERROR(__xludf.DUMMYFUNCTION("""COMPUTED_VALUE"""),6)</f>
        <v>6</v>
      </c>
      <c r="H1162" s="196" t="s">
        <v>111</v>
      </c>
      <c r="I1162" s="196"/>
      <c r="J1162" s="196" t="s">
        <v>64</v>
      </c>
      <c r="K1162" s="196"/>
      <c r="L1162" s="196" t="str">
        <v xml:space="preserve"> -100.65</v>
      </c>
      <c r="M1162" s="196"/>
    </row>
    <row r="1163" spans="1:13" ht="14.4" x14ac:dyDescent="0.3">
      <c r="A1163" s="189" t="str">
        <f ca="1">IFERROR(__xludf.DUMMYFUNCTION("""COMPUTED_VALUE"""),"M")</f>
        <v>M</v>
      </c>
      <c r="B1163" s="195" t="str">
        <f ca="1">IFERROR(__xludf.DUMMYFUNCTION("""COMPUTED_VALUE"""),"Anabel Kemp")</f>
        <v>Anabel Kemp</v>
      </c>
      <c r="C1163" s="189">
        <f ca="1">IFERROR(__xludf.DUMMYFUNCTION("""COMPUTED_VALUE"""),15)</f>
        <v>15</v>
      </c>
      <c r="D1163" s="189" t="str">
        <f ca="1">IFERROR(__xludf.DUMMYFUNCTION("""COMPUTED_VALUE"""),"G")</f>
        <v>G</v>
      </c>
      <c r="E1163" s="189" t="str">
        <f ca="1">IFERROR(__xludf.DUMMYFUNCTION("""COMPUTED_VALUE"""),"S")</f>
        <v>S</v>
      </c>
      <c r="F1163" s="189" t="str">
        <f ca="1">IFERROR(__xludf.DUMMYFUNCTION("""COMPUTED_VALUE"""),"S")</f>
        <v>S</v>
      </c>
      <c r="G1163" s="189">
        <f ca="1">IFERROR(__xludf.DUMMYFUNCTION("""COMPUTED_VALUE"""),6)</f>
        <v>6</v>
      </c>
      <c r="H1163" s="196"/>
      <c r="I1163" s="196"/>
      <c r="J1163" s="196"/>
      <c r="K1163" s="196"/>
      <c r="L1163" s="196" t="str">
        <v/>
      </c>
      <c r="M1163" s="196"/>
    </row>
    <row r="1164" spans="1:13" ht="14.4" x14ac:dyDescent="0.3">
      <c r="A1164" s="189" t="str">
        <f ca="1">IFERROR(__xludf.DUMMYFUNCTION("""COMPUTED_VALUE"""),"M")</f>
        <v>M</v>
      </c>
      <c r="B1164" s="195" t="str">
        <f ca="1">IFERROR(__xludf.DUMMYFUNCTION("""COMPUTED_VALUE"""),"Ruby Johnston")</f>
        <v>Ruby Johnston</v>
      </c>
      <c r="C1164" s="189">
        <f ca="1">IFERROR(__xludf.DUMMYFUNCTION("""COMPUTED_VALUE"""),16)</f>
        <v>16</v>
      </c>
      <c r="D1164" s="189" t="str">
        <f ca="1">IFERROR(__xludf.DUMMYFUNCTION("""COMPUTED_VALUE"""),"G")</f>
        <v>G</v>
      </c>
      <c r="E1164" s="189" t="str">
        <f ca="1">IFERROR(__xludf.DUMMYFUNCTION("""COMPUTED_VALUE"""),"S")</f>
        <v>S</v>
      </c>
      <c r="F1164" s="189" t="str">
        <f ca="1">IFERROR(__xludf.DUMMYFUNCTION("""COMPUTED_VALUE"""),"S")</f>
        <v>S</v>
      </c>
      <c r="G1164" s="189">
        <f ca="1">IFERROR(__xludf.DUMMYFUNCTION("""COMPUTED_VALUE"""),6)</f>
        <v>6</v>
      </c>
      <c r="H1164" s="196"/>
      <c r="I1164" s="196"/>
      <c r="J1164" s="196"/>
      <c r="K1164" s="196"/>
      <c r="L1164" s="196" t="str">
        <v/>
      </c>
      <c r="M1164" s="196"/>
    </row>
    <row r="1165" spans="1:13" ht="14.4" x14ac:dyDescent="0.3">
      <c r="A1165" s="189" t="str">
        <f ca="1">IFERROR(__xludf.DUMMYFUNCTION("""COMPUTED_VALUE"""),"M")</f>
        <v>M</v>
      </c>
      <c r="B1165" s="195" t="str">
        <f ca="1">IFERROR(__xludf.DUMMYFUNCTION("""COMPUTED_VALUE"""),"Samantha Eldred")</f>
        <v>Samantha Eldred</v>
      </c>
      <c r="C1165" s="189">
        <f ca="1">IFERROR(__xludf.DUMMYFUNCTION("""COMPUTED_VALUE"""),16)</f>
        <v>16</v>
      </c>
      <c r="D1165" s="189" t="str">
        <f ca="1">IFERROR(__xludf.DUMMYFUNCTION("""COMPUTED_VALUE"""),"G")</f>
        <v>G</v>
      </c>
      <c r="E1165" s="189" t="str">
        <f ca="1">IFERROR(__xludf.DUMMYFUNCTION("""COMPUTED_VALUE"""),"S")</f>
        <v>S</v>
      </c>
      <c r="F1165" s="189" t="str">
        <f ca="1">IFERROR(__xludf.DUMMYFUNCTION("""COMPUTED_VALUE"""),"S")</f>
        <v>S</v>
      </c>
      <c r="G1165" s="189">
        <f ca="1">IFERROR(__xludf.DUMMYFUNCTION("""COMPUTED_VALUE"""),6)</f>
        <v>6</v>
      </c>
      <c r="H1165" s="196" t="s">
        <v>487</v>
      </c>
      <c r="I1165" s="196"/>
      <c r="J1165" s="196" t="s">
        <v>29</v>
      </c>
      <c r="K1165" s="196"/>
      <c r="L1165" s="196" t="str">
        <v xml:space="preserve"> 155.00</v>
      </c>
      <c r="M1165" s="196"/>
    </row>
    <row r="1166" spans="1:13" ht="14.4" x14ac:dyDescent="0.3">
      <c r="A1166" s="189" t="str">
        <f ca="1">IFERROR(__xludf.DUMMYFUNCTION("""COMPUTED_VALUE"""),"M")</f>
        <v>M</v>
      </c>
      <c r="B1166" s="195" t="str">
        <f ca="1">IFERROR(__xludf.DUMMYFUNCTION("""COMPUTED_VALUE"""),"Sofia Nystrom")</f>
        <v>Sofia Nystrom</v>
      </c>
      <c r="C1166" s="189">
        <f ca="1">IFERROR(__xludf.DUMMYFUNCTION("""COMPUTED_VALUE"""),18)</f>
        <v>18</v>
      </c>
      <c r="D1166" s="189" t="str">
        <f ca="1">IFERROR(__xludf.DUMMYFUNCTION("""COMPUTED_VALUE"""),"G")</f>
        <v>G</v>
      </c>
      <c r="E1166" s="189" t="str">
        <f ca="1">IFERROR(__xludf.DUMMYFUNCTION("""COMPUTED_VALUE"""),"S")</f>
        <v>S</v>
      </c>
      <c r="F1166" s="189" t="str">
        <f ca="1">IFERROR(__xludf.DUMMYFUNCTION("""COMPUTED_VALUE"""),"S")</f>
        <v>S</v>
      </c>
      <c r="G1166" s="189">
        <f ca="1">IFERROR(__xludf.DUMMYFUNCTION("""COMPUTED_VALUE"""),6)</f>
        <v>6</v>
      </c>
      <c r="H1166" s="196"/>
      <c r="I1166" s="196"/>
      <c r="J1166" s="196"/>
      <c r="K1166" s="196"/>
      <c r="L1166" s="196" t="str">
        <v/>
      </c>
      <c r="M1166" s="196"/>
    </row>
    <row r="1167" spans="1:13" ht="14.4" x14ac:dyDescent="0.3">
      <c r="A1167" s="189" t="str">
        <f ca="1">IFERROR(__xludf.DUMMYFUNCTION("""COMPUTED_VALUE"""),"M")</f>
        <v>M</v>
      </c>
      <c r="B1167" s="195" t="str">
        <f ca="1">IFERROR(__xludf.DUMMYFUNCTION("""COMPUTED_VALUE"""),"Evan Middleton")</f>
        <v>Evan Middleton</v>
      </c>
      <c r="C1167" s="189">
        <f ca="1">IFERROR(__xludf.DUMMYFUNCTION("""COMPUTED_VALUE"""),15)</f>
        <v>15</v>
      </c>
      <c r="D1167" s="189" t="str">
        <f ca="1">IFERROR(__xludf.DUMMYFUNCTION("""COMPUTED_VALUE"""),"B")</f>
        <v>B</v>
      </c>
      <c r="E1167" s="189" t="str">
        <f ca="1">IFERROR(__xludf.DUMMYFUNCTION("""COMPUTED_VALUE"""),"S")</f>
        <v>S</v>
      </c>
      <c r="F1167" s="189" t="str">
        <f ca="1">IFERROR(__xludf.DUMMYFUNCTION("""COMPUTED_VALUE"""),"S")</f>
        <v>S</v>
      </c>
      <c r="G1167" s="189">
        <f ca="1">IFERROR(__xludf.DUMMYFUNCTION("""COMPUTED_VALUE"""),6)</f>
        <v>6</v>
      </c>
      <c r="H1167" s="196"/>
      <c r="I1167" s="196"/>
      <c r="J1167" s="196"/>
      <c r="K1167" s="196"/>
      <c r="L1167" s="196" t="str">
        <v/>
      </c>
      <c r="M1167" s="196"/>
    </row>
    <row r="1168" spans="1:13" ht="14.4" x14ac:dyDescent="0.3">
      <c r="A1168" s="189" t="str">
        <f ca="1">IFERROR(__xludf.DUMMYFUNCTION("""COMPUTED_VALUE"""),"MHC")</f>
        <v>MHC</v>
      </c>
      <c r="B1168" s="195" t="str">
        <f ca="1">IFERROR(__xludf.DUMMYFUNCTION("""COMPUTED_VALUE"""),"Adella Bryant")</f>
        <v>Adella Bryant</v>
      </c>
      <c r="C1168" s="189">
        <f ca="1">IFERROR(__xludf.DUMMYFUNCTION("""COMPUTED_VALUE"""),9)</f>
        <v>9</v>
      </c>
      <c r="D1168" s="189" t="str">
        <f ca="1">IFERROR(__xludf.DUMMYFUNCTION("""COMPUTED_VALUE"""),"G")</f>
        <v>G</v>
      </c>
      <c r="E1168" s="189" t="str">
        <f ca="1">IFERROR(__xludf.DUMMYFUNCTION("""COMPUTED_VALUE"""),"F")</f>
        <v>F</v>
      </c>
      <c r="F1168" s="189" t="str">
        <f ca="1">IFERROR(__xludf.DUMMYFUNCTION("""COMPUTED_VALUE"""),"J")</f>
        <v>J</v>
      </c>
      <c r="G1168" s="189">
        <f ca="1">IFERROR(__xludf.DUMMYFUNCTION("""COMPUTED_VALUE"""),6)</f>
        <v>6</v>
      </c>
      <c r="H1168" s="196" t="s">
        <v>488</v>
      </c>
      <c r="I1168" s="196"/>
      <c r="J1168" s="196" t="s">
        <v>29</v>
      </c>
      <c r="K1168" s="196"/>
      <c r="L1168" s="196" t="str">
        <v xml:space="preserve"> 23.25</v>
      </c>
      <c r="M1168" s="196"/>
    </row>
    <row r="1169" spans="1:13" ht="14.4" x14ac:dyDescent="0.3">
      <c r="A1169" s="189" t="str">
        <f ca="1">IFERROR(__xludf.DUMMYFUNCTION("""COMPUTED_VALUE"""),"MHC")</f>
        <v>MHC</v>
      </c>
      <c r="B1169" s="195" t="str">
        <f ca="1">IFERROR(__xludf.DUMMYFUNCTION("""COMPUTED_VALUE"""),"Alexandra Grant")</f>
        <v>Alexandra Grant</v>
      </c>
      <c r="C1169" s="189">
        <f ca="1">IFERROR(__xludf.DUMMYFUNCTION("""COMPUTED_VALUE"""),8)</f>
        <v>8</v>
      </c>
      <c r="D1169" s="189" t="str">
        <f ca="1">IFERROR(__xludf.DUMMYFUNCTION("""COMPUTED_VALUE"""),"G")</f>
        <v>G</v>
      </c>
      <c r="E1169" s="189" t="str">
        <f ca="1">IFERROR(__xludf.DUMMYFUNCTION("""COMPUTED_VALUE"""),"F")</f>
        <v>F</v>
      </c>
      <c r="F1169" s="189" t="str">
        <f ca="1">IFERROR(__xludf.DUMMYFUNCTION("""COMPUTED_VALUE"""),"J")</f>
        <v>J</v>
      </c>
      <c r="G1169" s="189">
        <f ca="1">IFERROR(__xludf.DUMMYFUNCTION("""COMPUTED_VALUE"""),6)</f>
        <v>6</v>
      </c>
      <c r="H1169" s="196" t="s">
        <v>489</v>
      </c>
      <c r="I1169" s="196"/>
      <c r="J1169" s="196" t="s">
        <v>29</v>
      </c>
      <c r="K1169" s="196"/>
      <c r="L1169" s="196" t="str">
        <v xml:space="preserve"> 49.50</v>
      </c>
      <c r="M1169" s="196"/>
    </row>
    <row r="1170" spans="1:13" ht="14.4" x14ac:dyDescent="0.3">
      <c r="A1170" s="189" t="str">
        <f ca="1">IFERROR(__xludf.DUMMYFUNCTION("""COMPUTED_VALUE"""),"MHC")</f>
        <v>MHC</v>
      </c>
      <c r="B1170" s="195" t="str">
        <f ca="1">IFERROR(__xludf.DUMMYFUNCTION("""COMPUTED_VALUE"""),"Clara Bryant")</f>
        <v>Clara Bryant</v>
      </c>
      <c r="C1170" s="189">
        <f ca="1">IFERROR(__xludf.DUMMYFUNCTION("""COMPUTED_VALUE"""),7)</f>
        <v>7</v>
      </c>
      <c r="D1170" s="189" t="str">
        <f ca="1">IFERROR(__xludf.DUMMYFUNCTION("""COMPUTED_VALUE"""),"G")</f>
        <v>G</v>
      </c>
      <c r="E1170" s="189" t="str">
        <f ca="1">IFERROR(__xludf.DUMMYFUNCTION("""COMPUTED_VALUE"""),"F")</f>
        <v>F</v>
      </c>
      <c r="F1170" s="189" t="str">
        <f ca="1">IFERROR(__xludf.DUMMYFUNCTION("""COMPUTED_VALUE"""),"J")</f>
        <v>J</v>
      </c>
      <c r="G1170" s="189">
        <f ca="1">IFERROR(__xludf.DUMMYFUNCTION("""COMPUTED_VALUE"""),6)</f>
        <v>6</v>
      </c>
      <c r="H1170" s="196" t="s">
        <v>490</v>
      </c>
      <c r="I1170" s="196"/>
      <c r="J1170" s="196" t="s">
        <v>29</v>
      </c>
      <c r="K1170" s="196"/>
      <c r="L1170" s="196" t="str">
        <v xml:space="preserve"> 11.50</v>
      </c>
      <c r="M1170" s="196"/>
    </row>
    <row r="1171" spans="1:13" ht="14.4" x14ac:dyDescent="0.3">
      <c r="A1171" s="189" t="str">
        <f ca="1">IFERROR(__xludf.DUMMYFUNCTION("""COMPUTED_VALUE"""),"MHC")</f>
        <v>MHC</v>
      </c>
      <c r="B1171" s="195" t="str">
        <f ca="1">IFERROR(__xludf.DUMMYFUNCTION("""COMPUTED_VALUE"""),"Ellie Collins")</f>
        <v>Ellie Collins</v>
      </c>
      <c r="C1171" s="189">
        <f ca="1">IFERROR(__xludf.DUMMYFUNCTION("""COMPUTED_VALUE"""),8)</f>
        <v>8</v>
      </c>
      <c r="D1171" s="189" t="str">
        <f ca="1">IFERROR(__xludf.DUMMYFUNCTION("""COMPUTED_VALUE"""),"G")</f>
        <v>G</v>
      </c>
      <c r="E1171" s="189" t="str">
        <f ca="1">IFERROR(__xludf.DUMMYFUNCTION("""COMPUTED_VALUE"""),"F")</f>
        <v>F</v>
      </c>
      <c r="F1171" s="189" t="str">
        <f ca="1">IFERROR(__xludf.DUMMYFUNCTION("""COMPUTED_VALUE"""),"J")</f>
        <v>J</v>
      </c>
      <c r="G1171" s="189">
        <f ca="1">IFERROR(__xludf.DUMMYFUNCTION("""COMPUTED_VALUE"""),6)</f>
        <v>6</v>
      </c>
      <c r="H1171" s="196" t="s">
        <v>491</v>
      </c>
      <c r="I1171" s="196"/>
      <c r="J1171" s="196" t="s">
        <v>29</v>
      </c>
      <c r="K1171" s="196"/>
      <c r="L1171" s="196" t="str">
        <v xml:space="preserve"> 12.50</v>
      </c>
      <c r="M1171" s="196"/>
    </row>
    <row r="1172" spans="1:13" ht="14.4" x14ac:dyDescent="0.3">
      <c r="A1172" s="189" t="str">
        <f ca="1">IFERROR(__xludf.DUMMYFUNCTION("""COMPUTED_VALUE"""),"MHC")</f>
        <v>MHC</v>
      </c>
      <c r="B1172" s="195" t="str">
        <f ca="1">IFERROR(__xludf.DUMMYFUNCTION("""COMPUTED_VALUE"""),"Maggie Navarro")</f>
        <v>Maggie Navarro</v>
      </c>
      <c r="C1172" s="189">
        <f ca="1">IFERROR(__xludf.DUMMYFUNCTION("""COMPUTED_VALUE"""),9)</f>
        <v>9</v>
      </c>
      <c r="D1172" s="189" t="str">
        <f ca="1">IFERROR(__xludf.DUMMYFUNCTION("""COMPUTED_VALUE"""),"G")</f>
        <v>G</v>
      </c>
      <c r="E1172" s="189" t="str">
        <f ca="1">IFERROR(__xludf.DUMMYFUNCTION("""COMPUTED_VALUE"""),"F")</f>
        <v>F</v>
      </c>
      <c r="F1172" s="189" t="str">
        <f ca="1">IFERROR(__xludf.DUMMYFUNCTION("""COMPUTED_VALUE"""),"J")</f>
        <v>J</v>
      </c>
      <c r="G1172" s="189">
        <f ca="1">IFERROR(__xludf.DUMMYFUNCTION("""COMPUTED_VALUE"""),6)</f>
        <v>6</v>
      </c>
      <c r="H1172" s="196"/>
      <c r="I1172" s="196"/>
      <c r="J1172" s="196"/>
      <c r="K1172" s="196"/>
      <c r="L1172" s="196" t="str">
        <v/>
      </c>
      <c r="M1172" s="196"/>
    </row>
    <row r="1173" spans="1:13" ht="14.4" x14ac:dyDescent="0.3">
      <c r="A1173" s="189" t="str">
        <f ca="1">IFERROR(__xludf.DUMMYFUNCTION("""COMPUTED_VALUE"""),"MHC")</f>
        <v>MHC</v>
      </c>
      <c r="B1173" s="195" t="str">
        <f ca="1">IFERROR(__xludf.DUMMYFUNCTION("""COMPUTED_VALUE"""),"Felix Harte")</f>
        <v>Felix Harte</v>
      </c>
      <c r="C1173" s="189">
        <f ca="1">IFERROR(__xludf.DUMMYFUNCTION("""COMPUTED_VALUE"""),7)</f>
        <v>7</v>
      </c>
      <c r="D1173" s="189" t="str">
        <f ca="1">IFERROR(__xludf.DUMMYFUNCTION("""COMPUTED_VALUE"""),"B")</f>
        <v>B</v>
      </c>
      <c r="E1173" s="189" t="str">
        <f ca="1">IFERROR(__xludf.DUMMYFUNCTION("""COMPUTED_VALUE"""),"F")</f>
        <v>F</v>
      </c>
      <c r="F1173" s="189" t="str">
        <f ca="1">IFERROR(__xludf.DUMMYFUNCTION("""COMPUTED_VALUE"""),"J")</f>
        <v>J</v>
      </c>
      <c r="G1173" s="189">
        <f ca="1">IFERROR(__xludf.DUMMYFUNCTION("""COMPUTED_VALUE"""),6)</f>
        <v>6</v>
      </c>
      <c r="H1173" s="196" t="s">
        <v>492</v>
      </c>
      <c r="I1173" s="196"/>
      <c r="J1173" s="196" t="s">
        <v>29</v>
      </c>
      <c r="K1173" s="196"/>
      <c r="L1173" s="196" t="str">
        <v xml:space="preserve"> 50.20</v>
      </c>
      <c r="M1173" s="196"/>
    </row>
    <row r="1174" spans="1:13" ht="14.4" x14ac:dyDescent="0.3">
      <c r="A1174" s="189" t="str">
        <f ca="1">IFERROR(__xludf.DUMMYFUNCTION("""COMPUTED_VALUE"""),"MHC")</f>
        <v>MHC</v>
      </c>
      <c r="B1174" s="195" t="str">
        <f ca="1">IFERROR(__xludf.DUMMYFUNCTION("""COMPUTED_VALUE"""),"Thor Downie")</f>
        <v>Thor Downie</v>
      </c>
      <c r="C1174" s="189">
        <f ca="1">IFERROR(__xludf.DUMMYFUNCTION("""COMPUTED_VALUE"""),7)</f>
        <v>7</v>
      </c>
      <c r="D1174" s="189" t="str">
        <f ca="1">IFERROR(__xludf.DUMMYFUNCTION("""COMPUTED_VALUE"""),"B")</f>
        <v>B</v>
      </c>
      <c r="E1174" s="189" t="str">
        <f ca="1">IFERROR(__xludf.DUMMYFUNCTION("""COMPUTED_VALUE"""),"F")</f>
        <v>F</v>
      </c>
      <c r="F1174" s="189" t="str">
        <f ca="1">IFERROR(__xludf.DUMMYFUNCTION("""COMPUTED_VALUE"""),"J")</f>
        <v>J</v>
      </c>
      <c r="G1174" s="189">
        <f ca="1">IFERROR(__xludf.DUMMYFUNCTION("""COMPUTED_VALUE"""),6)</f>
        <v>6</v>
      </c>
      <c r="H1174" s="196" t="s">
        <v>493</v>
      </c>
      <c r="I1174" s="196"/>
      <c r="J1174" s="196" t="s">
        <v>29</v>
      </c>
      <c r="K1174" s="196"/>
      <c r="L1174" s="196" t="str">
        <v xml:space="preserve"> 38.50</v>
      </c>
      <c r="M1174" s="196"/>
    </row>
    <row r="1175" spans="1:13" ht="14.4" x14ac:dyDescent="0.3">
      <c r="A1175" s="189" t="str">
        <f ca="1">IFERROR(__xludf.DUMMYFUNCTION("""COMPUTED_VALUE"""),"MHC")</f>
        <v>MHC</v>
      </c>
      <c r="B1175" s="195" t="str">
        <f ca="1">IFERROR(__xludf.DUMMYFUNCTION("""COMPUTED_VALUE"""),"Will Fletcher")</f>
        <v>Will Fletcher</v>
      </c>
      <c r="C1175" s="189">
        <f ca="1">IFERROR(__xludf.DUMMYFUNCTION("""COMPUTED_VALUE"""),10)</f>
        <v>10</v>
      </c>
      <c r="D1175" s="189" t="str">
        <f ca="1">IFERROR(__xludf.DUMMYFUNCTION("""COMPUTED_VALUE"""),"B")</f>
        <v>B</v>
      </c>
      <c r="E1175" s="189" t="str">
        <f ca="1">IFERROR(__xludf.DUMMYFUNCTION("""COMPUTED_VALUE"""),"F")</f>
        <v>F</v>
      </c>
      <c r="F1175" s="189" t="str">
        <f ca="1">IFERROR(__xludf.DUMMYFUNCTION("""COMPUTED_VALUE"""),"J")</f>
        <v>J</v>
      </c>
      <c r="G1175" s="189">
        <f ca="1">IFERROR(__xludf.DUMMYFUNCTION("""COMPUTED_VALUE"""),6)</f>
        <v>6</v>
      </c>
      <c r="H1175" s="196" t="s">
        <v>494</v>
      </c>
      <c r="I1175" s="196"/>
      <c r="J1175" s="196" t="s">
        <v>29</v>
      </c>
      <c r="K1175" s="196"/>
      <c r="L1175" s="196" t="str">
        <v xml:space="preserve"> 43.65</v>
      </c>
      <c r="M1175" s="196"/>
    </row>
    <row r="1176" spans="1:13" ht="14.4" x14ac:dyDescent="0.3">
      <c r="A1176" s="189" t="str">
        <f ca="1">IFERROR(__xludf.DUMMYFUNCTION("""COMPUTED_VALUE"""),"MHC")</f>
        <v>MHC</v>
      </c>
      <c r="B1176" s="195" t="str">
        <f ca="1">IFERROR(__xludf.DUMMYFUNCTION("""COMPUTED_VALUE"""),"Ben Fletcher")</f>
        <v>Ben Fletcher</v>
      </c>
      <c r="C1176" s="189">
        <f ca="1">IFERROR(__xludf.DUMMYFUNCTION("""COMPUTED_VALUE"""),13)</f>
        <v>13</v>
      </c>
      <c r="D1176" s="189" t="str">
        <f ca="1">IFERROR(__xludf.DUMMYFUNCTION("""COMPUTED_VALUE"""),"B")</f>
        <v>B</v>
      </c>
      <c r="E1176" s="189" t="str">
        <f ca="1">IFERROR(__xludf.DUMMYFUNCTION("""COMPUTED_VALUE"""),"I")</f>
        <v>I</v>
      </c>
      <c r="F1176" s="189" t="str">
        <f ca="1">IFERROR(__xludf.DUMMYFUNCTION("""COMPUTED_VALUE"""),"S")</f>
        <v>S</v>
      </c>
      <c r="G1176" s="189">
        <f ca="1">IFERROR(__xludf.DUMMYFUNCTION("""COMPUTED_VALUE"""),6)</f>
        <v>6</v>
      </c>
      <c r="H1176" s="196"/>
      <c r="I1176" s="196"/>
      <c r="J1176" s="196"/>
      <c r="K1176" s="196"/>
      <c r="L1176" s="196" t="str">
        <v/>
      </c>
      <c r="M1176" s="196"/>
    </row>
    <row r="1177" spans="1:13" ht="14.4" x14ac:dyDescent="0.3">
      <c r="A1177" s="189" t="str">
        <f ca="1">IFERROR(__xludf.DUMMYFUNCTION("""COMPUTED_VALUE"""),"MHC")</f>
        <v>MHC</v>
      </c>
      <c r="B1177" s="195" t="str">
        <f ca="1">IFERROR(__xludf.DUMMYFUNCTION("""COMPUTED_VALUE"""),"Jared Navarro")</f>
        <v>Jared Navarro</v>
      </c>
      <c r="C1177" s="189">
        <f ca="1">IFERROR(__xludf.DUMMYFUNCTION("""COMPUTED_VALUE"""),13)</f>
        <v>13</v>
      </c>
      <c r="D1177" s="189" t="str">
        <f ca="1">IFERROR(__xludf.DUMMYFUNCTION("""COMPUTED_VALUE"""),"B")</f>
        <v>B</v>
      </c>
      <c r="E1177" s="189" t="str">
        <f ca="1">IFERROR(__xludf.DUMMYFUNCTION("""COMPUTED_VALUE"""),"I")</f>
        <v>I</v>
      </c>
      <c r="F1177" s="189" t="str">
        <f ca="1">IFERROR(__xludf.DUMMYFUNCTION("""COMPUTED_VALUE"""),"S")</f>
        <v>S</v>
      </c>
      <c r="G1177" s="189">
        <f ca="1">IFERROR(__xludf.DUMMYFUNCTION("""COMPUTED_VALUE"""),6)</f>
        <v>6</v>
      </c>
      <c r="H1177" s="196"/>
      <c r="I1177" s="196"/>
      <c r="J1177" s="196"/>
      <c r="K1177" s="196"/>
      <c r="L1177" s="196" t="str">
        <v/>
      </c>
      <c r="M1177" s="196"/>
    </row>
    <row r="1178" spans="1:13" ht="14.4" x14ac:dyDescent="0.3">
      <c r="A1178" s="189" t="str">
        <f ca="1">IFERROR(__xludf.DUMMYFUNCTION("""COMPUTED_VALUE"""),"MHC")</f>
        <v>MHC</v>
      </c>
      <c r="B1178" s="195" t="str">
        <f ca="1">IFERROR(__xludf.DUMMYFUNCTION("""COMPUTED_VALUE"""),"Owen Thomas")</f>
        <v>Owen Thomas</v>
      </c>
      <c r="C1178" s="189">
        <f ca="1">IFERROR(__xludf.DUMMYFUNCTION("""COMPUTED_VALUE"""),14)</f>
        <v>14</v>
      </c>
      <c r="D1178" s="189" t="str">
        <f ca="1">IFERROR(__xludf.DUMMYFUNCTION("""COMPUTED_VALUE"""),"B")</f>
        <v>B</v>
      </c>
      <c r="E1178" s="189" t="str">
        <f ca="1">IFERROR(__xludf.DUMMYFUNCTION("""COMPUTED_VALUE"""),"I")</f>
        <v>I</v>
      </c>
      <c r="F1178" s="189" t="str">
        <f ca="1">IFERROR(__xludf.DUMMYFUNCTION("""COMPUTED_VALUE"""),"S")</f>
        <v>S</v>
      </c>
      <c r="G1178" s="189">
        <f ca="1">IFERROR(__xludf.DUMMYFUNCTION("""COMPUTED_VALUE"""),6)</f>
        <v>6</v>
      </c>
      <c r="H1178" s="196" t="s">
        <v>495</v>
      </c>
      <c r="I1178" s="196"/>
      <c r="J1178" s="196" t="s">
        <v>64</v>
      </c>
      <c r="K1178" s="196"/>
      <c r="L1178" s="196" t="str">
        <v xml:space="preserve"> -136.40</v>
      </c>
      <c r="M1178" s="196"/>
    </row>
    <row r="1179" spans="1:13" ht="14.4" x14ac:dyDescent="0.3">
      <c r="A1179" s="189" t="str">
        <f ca="1">IFERROR(__xludf.DUMMYFUNCTION("""COMPUTED_VALUE"""),"MHC")</f>
        <v>MHC</v>
      </c>
      <c r="B1179" s="195" t="str">
        <f ca="1">IFERROR(__xludf.DUMMYFUNCTION("""COMPUTED_VALUE"""),"Sam Carrado")</f>
        <v>Sam Carrado</v>
      </c>
      <c r="C1179" s="189">
        <f ca="1">IFERROR(__xludf.DUMMYFUNCTION("""COMPUTED_VALUE"""),13)</f>
        <v>13</v>
      </c>
      <c r="D1179" s="189" t="str">
        <f ca="1">IFERROR(__xludf.DUMMYFUNCTION("""COMPUTED_VALUE"""),"B")</f>
        <v>B</v>
      </c>
      <c r="E1179" s="189" t="str">
        <f ca="1">IFERROR(__xludf.DUMMYFUNCTION("""COMPUTED_VALUE"""),"I")</f>
        <v>I</v>
      </c>
      <c r="F1179" s="189" t="str">
        <f ca="1">IFERROR(__xludf.DUMMYFUNCTION("""COMPUTED_VALUE"""),"S")</f>
        <v>S</v>
      </c>
      <c r="G1179" s="189">
        <f ca="1">IFERROR(__xludf.DUMMYFUNCTION("""COMPUTED_VALUE"""),6)</f>
        <v>6</v>
      </c>
      <c r="H1179" s="196" t="s">
        <v>496</v>
      </c>
      <c r="I1179" s="196"/>
      <c r="J1179" s="196" t="s">
        <v>29</v>
      </c>
      <c r="K1179" s="196"/>
      <c r="L1179" s="196" t="str">
        <v xml:space="preserve"> 108.35</v>
      </c>
      <c r="M1179" s="196"/>
    </row>
    <row r="1180" spans="1:13" ht="14.4" x14ac:dyDescent="0.3">
      <c r="A1180" s="189" t="str">
        <f ca="1">IFERROR(__xludf.DUMMYFUNCTION("""COMPUTED_VALUE"""),"MHC")</f>
        <v>MHC</v>
      </c>
      <c r="B1180" s="195" t="str">
        <f ca="1">IFERROR(__xludf.DUMMYFUNCTION("""COMPUTED_VALUE"""),"Lucy Navarro")</f>
        <v>Lucy Navarro</v>
      </c>
      <c r="C1180" s="189">
        <f ca="1">IFERROR(__xludf.DUMMYFUNCTION("""COMPUTED_VALUE"""),11)</f>
        <v>11</v>
      </c>
      <c r="D1180" s="189" t="str">
        <f ca="1">IFERROR(__xludf.DUMMYFUNCTION("""COMPUTED_VALUE"""),"G")</f>
        <v>G</v>
      </c>
      <c r="E1180" s="189" t="str">
        <f ca="1">IFERROR(__xludf.DUMMYFUNCTION("""COMPUTED_VALUE"""),"J")</f>
        <v>J</v>
      </c>
      <c r="F1180" s="189" t="str">
        <f ca="1">IFERROR(__xludf.DUMMYFUNCTION("""COMPUTED_VALUE"""),"I")</f>
        <v>I</v>
      </c>
      <c r="G1180" s="189">
        <f ca="1">IFERROR(__xludf.DUMMYFUNCTION("""COMPUTED_VALUE"""),6)</f>
        <v>6</v>
      </c>
      <c r="H1180" s="196"/>
      <c r="I1180" s="196"/>
      <c r="J1180" s="196"/>
      <c r="K1180" s="196"/>
      <c r="L1180" s="196" t="str">
        <v/>
      </c>
      <c r="M1180" s="196"/>
    </row>
    <row r="1181" spans="1:13" ht="14.4" x14ac:dyDescent="0.3">
      <c r="A1181" s="189" t="str">
        <f ca="1">IFERROR(__xludf.DUMMYFUNCTION("""COMPUTED_VALUE"""),"MHC")</f>
        <v>MHC</v>
      </c>
      <c r="B1181" s="195" t="str">
        <f ca="1">IFERROR(__xludf.DUMMYFUNCTION("""COMPUTED_VALUE"""),"Austin Moss")</f>
        <v>Austin Moss</v>
      </c>
      <c r="C1181" s="189">
        <f ca="1">IFERROR(__xludf.DUMMYFUNCTION("""COMPUTED_VALUE"""),12)</f>
        <v>12</v>
      </c>
      <c r="D1181" s="189" t="str">
        <f ca="1">IFERROR(__xludf.DUMMYFUNCTION("""COMPUTED_VALUE"""),"B")</f>
        <v>B</v>
      </c>
      <c r="E1181" s="189" t="str">
        <f ca="1">IFERROR(__xludf.DUMMYFUNCTION("""COMPUTED_VALUE"""),"J")</f>
        <v>J</v>
      </c>
      <c r="F1181" s="189" t="str">
        <f ca="1">IFERROR(__xludf.DUMMYFUNCTION("""COMPUTED_VALUE"""),"I")</f>
        <v>I</v>
      </c>
      <c r="G1181" s="189">
        <f ca="1">IFERROR(__xludf.DUMMYFUNCTION("""COMPUTED_VALUE"""),6)</f>
        <v>6</v>
      </c>
      <c r="H1181" s="196" t="s">
        <v>497</v>
      </c>
      <c r="I1181" s="196"/>
      <c r="J1181" s="196" t="s">
        <v>29</v>
      </c>
      <c r="K1181" s="196"/>
      <c r="L1181" s="196" t="str">
        <v xml:space="preserve"> 74.65</v>
      </c>
      <c r="M1181" s="196"/>
    </row>
    <row r="1182" spans="1:13" ht="14.4" x14ac:dyDescent="0.3">
      <c r="A1182" s="189" t="str">
        <f ca="1">IFERROR(__xludf.DUMMYFUNCTION("""COMPUTED_VALUE"""),"MHC")</f>
        <v>MHC</v>
      </c>
      <c r="B1182" s="195" t="str">
        <f ca="1">IFERROR(__xludf.DUMMYFUNCTION("""COMPUTED_VALUE"""),"Patrick Donovan")</f>
        <v>Patrick Donovan</v>
      </c>
      <c r="C1182" s="189">
        <f ca="1">IFERROR(__xludf.DUMMYFUNCTION("""COMPUTED_VALUE"""),12)</f>
        <v>12</v>
      </c>
      <c r="D1182" s="189" t="str">
        <f ca="1">IFERROR(__xludf.DUMMYFUNCTION("""COMPUTED_VALUE"""),"B")</f>
        <v>B</v>
      </c>
      <c r="E1182" s="189" t="str">
        <f ca="1">IFERROR(__xludf.DUMMYFUNCTION("""COMPUTED_VALUE"""),"J")</f>
        <v>J</v>
      </c>
      <c r="F1182" s="189" t="str">
        <f ca="1">IFERROR(__xludf.DUMMYFUNCTION("""COMPUTED_VALUE"""),"I")</f>
        <v>I</v>
      </c>
      <c r="G1182" s="189">
        <f ca="1">IFERROR(__xludf.DUMMYFUNCTION("""COMPUTED_VALUE"""),6)</f>
        <v>6</v>
      </c>
      <c r="H1182" s="196" t="s">
        <v>498</v>
      </c>
      <c r="I1182" s="196"/>
      <c r="J1182" s="196" t="s">
        <v>29</v>
      </c>
      <c r="K1182" s="196"/>
      <c r="L1182" s="196" t="str">
        <v xml:space="preserve"> 64.60</v>
      </c>
      <c r="M1182" s="196"/>
    </row>
    <row r="1183" spans="1:13" ht="14.4" x14ac:dyDescent="0.3">
      <c r="A1183" s="189" t="str">
        <f ca="1">IFERROR(__xludf.DUMMYFUNCTION("""COMPUTED_VALUE"""),"MHC")</f>
        <v>MHC</v>
      </c>
      <c r="B1183" s="195" t="str">
        <f ca="1">IFERROR(__xludf.DUMMYFUNCTION("""COMPUTED_VALUE"""),"Allie Duffield")</f>
        <v>Allie Duffield</v>
      </c>
      <c r="C1183" s="189">
        <f ca="1">IFERROR(__xludf.DUMMYFUNCTION("""COMPUTED_VALUE"""),15)</f>
        <v>15</v>
      </c>
      <c r="D1183" s="189" t="str">
        <f ca="1">IFERROR(__xludf.DUMMYFUNCTION("""COMPUTED_VALUE"""),"G")</f>
        <v>G</v>
      </c>
      <c r="E1183" s="189" t="str">
        <f ca="1">IFERROR(__xludf.DUMMYFUNCTION("""COMPUTED_VALUE"""),"S")</f>
        <v>S</v>
      </c>
      <c r="F1183" s="189" t="str">
        <f ca="1">IFERROR(__xludf.DUMMYFUNCTION("""COMPUTED_VALUE"""),"S")</f>
        <v>S</v>
      </c>
      <c r="G1183" s="189">
        <f ca="1">IFERROR(__xludf.DUMMYFUNCTION("""COMPUTED_VALUE"""),6)</f>
        <v>6</v>
      </c>
      <c r="H1183" s="196" t="s">
        <v>499</v>
      </c>
      <c r="I1183" s="196"/>
      <c r="J1183" s="196" t="s">
        <v>29</v>
      </c>
      <c r="K1183" s="196"/>
      <c r="L1183" s="196" t="str">
        <v xml:space="preserve"> 122.85</v>
      </c>
      <c r="M1183" s="196"/>
    </row>
    <row r="1184" spans="1:13" ht="14.4" x14ac:dyDescent="0.3">
      <c r="A1184" s="189" t="str">
        <f ca="1">IFERROR(__xludf.DUMMYFUNCTION("""COMPUTED_VALUE"""),"MHC")</f>
        <v>MHC</v>
      </c>
      <c r="B1184" s="195" t="str">
        <f ca="1">IFERROR(__xludf.DUMMYFUNCTION("""COMPUTED_VALUE"""),"Sandra Kay")</f>
        <v>Sandra Kay</v>
      </c>
      <c r="C1184" s="189">
        <f ca="1">IFERROR(__xludf.DUMMYFUNCTION("""COMPUTED_VALUE"""),16)</f>
        <v>16</v>
      </c>
      <c r="D1184" s="189" t="str">
        <f ca="1">IFERROR(__xludf.DUMMYFUNCTION("""COMPUTED_VALUE"""),"G")</f>
        <v>G</v>
      </c>
      <c r="E1184" s="189" t="str">
        <f ca="1">IFERROR(__xludf.DUMMYFUNCTION("""COMPUTED_VALUE"""),"S")</f>
        <v>S</v>
      </c>
      <c r="F1184" s="189" t="str">
        <f ca="1">IFERROR(__xludf.DUMMYFUNCTION("""COMPUTED_VALUE"""),"S")</f>
        <v>S</v>
      </c>
      <c r="G1184" s="189">
        <f ca="1">IFERROR(__xludf.DUMMYFUNCTION("""COMPUTED_VALUE"""),6)</f>
        <v>6</v>
      </c>
      <c r="H1184" s="196" t="s">
        <v>500</v>
      </c>
      <c r="I1184" s="196"/>
      <c r="J1184" s="196" t="s">
        <v>29</v>
      </c>
      <c r="K1184" s="196"/>
      <c r="L1184" s="196" t="str">
        <v xml:space="preserve"> 125.50</v>
      </c>
      <c r="M1184" s="196"/>
    </row>
    <row r="1185" spans="1:13" ht="14.4" x14ac:dyDescent="0.3">
      <c r="A1185" s="189" t="str">
        <f ca="1">IFERROR(__xludf.DUMMYFUNCTION("""COMPUTED_VALUE"""),"MHC")</f>
        <v>MHC</v>
      </c>
      <c r="B1185" s="195" t="str">
        <f ca="1">IFERROR(__xludf.DUMMYFUNCTION("""COMPUTED_VALUE"""),"Tabitha Thomas")</f>
        <v>Tabitha Thomas</v>
      </c>
      <c r="C1185" s="189">
        <f ca="1">IFERROR(__xludf.DUMMYFUNCTION("""COMPUTED_VALUE"""),17)</f>
        <v>17</v>
      </c>
      <c r="D1185" s="189" t="str">
        <f ca="1">IFERROR(__xludf.DUMMYFUNCTION("""COMPUTED_VALUE"""),"G")</f>
        <v>G</v>
      </c>
      <c r="E1185" s="189" t="str">
        <f ca="1">IFERROR(__xludf.DUMMYFUNCTION("""COMPUTED_VALUE"""),"S")</f>
        <v>S</v>
      </c>
      <c r="F1185" s="189" t="str">
        <f ca="1">IFERROR(__xludf.DUMMYFUNCTION("""COMPUTED_VALUE"""),"S")</f>
        <v>S</v>
      </c>
      <c r="G1185" s="189">
        <f ca="1">IFERROR(__xludf.DUMMYFUNCTION("""COMPUTED_VALUE"""),6)</f>
        <v>6</v>
      </c>
      <c r="H1185" s="196" t="s">
        <v>501</v>
      </c>
      <c r="I1185" s="196"/>
      <c r="J1185" s="196" t="s">
        <v>29</v>
      </c>
      <c r="K1185" s="196"/>
      <c r="L1185" s="196" t="str">
        <v xml:space="preserve"> 105.35</v>
      </c>
      <c r="M1185" s="196"/>
    </row>
    <row r="1186" spans="1:13" ht="14.4" x14ac:dyDescent="0.3">
      <c r="A1186" s="189" t="str">
        <f ca="1">IFERROR(__xludf.DUMMYFUNCTION("""COMPUTED_VALUE"""),"MHC")</f>
        <v>MHC</v>
      </c>
      <c r="B1186" s="195" t="str">
        <f ca="1">IFERROR(__xludf.DUMMYFUNCTION("""COMPUTED_VALUE"""),"Zoe Askin")</f>
        <v>Zoe Askin</v>
      </c>
      <c r="C1186" s="189">
        <f ca="1">IFERROR(__xludf.DUMMYFUNCTION("""COMPUTED_VALUE"""),18)</f>
        <v>18</v>
      </c>
      <c r="D1186" s="189" t="str">
        <f ca="1">IFERROR(__xludf.DUMMYFUNCTION("""COMPUTED_VALUE"""),"G")</f>
        <v>G</v>
      </c>
      <c r="E1186" s="189" t="str">
        <f ca="1">IFERROR(__xludf.DUMMYFUNCTION("""COMPUTED_VALUE"""),"S")</f>
        <v>S</v>
      </c>
      <c r="F1186" s="189" t="str">
        <f ca="1">IFERROR(__xludf.DUMMYFUNCTION("""COMPUTED_VALUE"""),"S")</f>
        <v>S</v>
      </c>
      <c r="G1186" s="189">
        <f ca="1">IFERROR(__xludf.DUMMYFUNCTION("""COMPUTED_VALUE"""),6)</f>
        <v>6</v>
      </c>
      <c r="H1186" s="196" t="s">
        <v>502</v>
      </c>
      <c r="I1186" s="196"/>
      <c r="J1186" s="196" t="s">
        <v>29</v>
      </c>
      <c r="K1186" s="196"/>
      <c r="L1186" s="196" t="str">
        <v xml:space="preserve"> 148.40</v>
      </c>
      <c r="M1186" s="196"/>
    </row>
    <row r="1187" spans="1:13" ht="14.4" x14ac:dyDescent="0.3">
      <c r="A1187" s="189" t="str">
        <f ca="1">IFERROR(__xludf.DUMMYFUNCTION("""COMPUTED_VALUE"""),"NS")</f>
        <v>NS</v>
      </c>
      <c r="B1187" s="195" t="str">
        <f ca="1">IFERROR(__xludf.DUMMYFUNCTION("""COMPUTED_VALUE"""),"Eva Pereira")</f>
        <v>Eva Pereira</v>
      </c>
      <c r="C1187" s="189">
        <f ca="1">IFERROR(__xludf.DUMMYFUNCTION("""COMPUTED_VALUE"""),7)</f>
        <v>7</v>
      </c>
      <c r="D1187" s="189" t="str">
        <f ca="1">IFERROR(__xludf.DUMMYFUNCTION("""COMPUTED_VALUE"""),"G")</f>
        <v>G</v>
      </c>
      <c r="E1187" s="189" t="str">
        <f ca="1">IFERROR(__xludf.DUMMYFUNCTION("""COMPUTED_VALUE"""),"F")</f>
        <v>F</v>
      </c>
      <c r="F1187" s="189" t="str">
        <f ca="1">IFERROR(__xludf.DUMMYFUNCTION("""COMPUTED_VALUE"""),"J")</f>
        <v>J</v>
      </c>
      <c r="G1187" s="189">
        <f ca="1">IFERROR(__xludf.DUMMYFUNCTION("""COMPUTED_VALUE"""),7)</f>
        <v>7</v>
      </c>
      <c r="H1187" s="196" t="s">
        <v>503</v>
      </c>
      <c r="I1187" s="196"/>
      <c r="J1187" s="196" t="s">
        <v>29</v>
      </c>
      <c r="K1187" s="196"/>
      <c r="L1187" s="196" t="str">
        <v xml:space="preserve"> 19.50</v>
      </c>
      <c r="M1187" s="196"/>
    </row>
    <row r="1188" spans="1:13" ht="14.4" x14ac:dyDescent="0.3">
      <c r="A1188" s="189" t="str">
        <f ca="1">IFERROR(__xludf.DUMMYFUNCTION("""COMPUTED_VALUE"""),"NS")</f>
        <v>NS</v>
      </c>
      <c r="B1188" s="195" t="str">
        <f ca="1">IFERROR(__xludf.DUMMYFUNCTION("""COMPUTED_VALUE"""),"Julieta Iguina Espinoza")</f>
        <v>Julieta Iguina Espinoza</v>
      </c>
      <c r="C1188" s="189">
        <f ca="1">IFERROR(__xludf.DUMMYFUNCTION("""COMPUTED_VALUE"""),10)</f>
        <v>10</v>
      </c>
      <c r="D1188" s="189" t="str">
        <f ca="1">IFERROR(__xludf.DUMMYFUNCTION("""COMPUTED_VALUE"""),"G")</f>
        <v>G</v>
      </c>
      <c r="E1188" s="189" t="str">
        <f ca="1">IFERROR(__xludf.DUMMYFUNCTION("""COMPUTED_VALUE"""),"F")</f>
        <v>F</v>
      </c>
      <c r="F1188" s="189" t="str">
        <f ca="1">IFERROR(__xludf.DUMMYFUNCTION("""COMPUTED_VALUE"""),"J")</f>
        <v>J</v>
      </c>
      <c r="G1188" s="189">
        <f ca="1">IFERROR(__xludf.DUMMYFUNCTION("""COMPUTED_VALUE"""),7)</f>
        <v>7</v>
      </c>
      <c r="H1188" s="196"/>
      <c r="I1188" s="196"/>
      <c r="J1188" s="196"/>
      <c r="K1188" s="196"/>
      <c r="L1188" s="196" t="str">
        <v/>
      </c>
      <c r="M1188" s="196"/>
    </row>
    <row r="1189" spans="1:13" ht="14.4" x14ac:dyDescent="0.3">
      <c r="A1189" s="189" t="str">
        <f ca="1">IFERROR(__xludf.DUMMYFUNCTION("""COMPUTED_VALUE"""),"NS")</f>
        <v>NS</v>
      </c>
      <c r="B1189" s="195" t="str">
        <f ca="1">IFERROR(__xludf.DUMMYFUNCTION("""COMPUTED_VALUE"""),"Liesl Birkelbach")</f>
        <v>Liesl Birkelbach</v>
      </c>
      <c r="C1189" s="189">
        <f ca="1">IFERROR(__xludf.DUMMYFUNCTION("""COMPUTED_VALUE"""),8)</f>
        <v>8</v>
      </c>
      <c r="D1189" s="189" t="str">
        <f ca="1">IFERROR(__xludf.DUMMYFUNCTION("""COMPUTED_VALUE"""),"G")</f>
        <v>G</v>
      </c>
      <c r="E1189" s="189" t="str">
        <f ca="1">IFERROR(__xludf.DUMMYFUNCTION("""COMPUTED_VALUE"""),"F")</f>
        <v>F</v>
      </c>
      <c r="F1189" s="189" t="str">
        <f ca="1">IFERROR(__xludf.DUMMYFUNCTION("""COMPUTED_VALUE"""),"J")</f>
        <v>J</v>
      </c>
      <c r="G1189" s="189">
        <f ca="1">IFERROR(__xludf.DUMMYFUNCTION("""COMPUTED_VALUE"""),7)</f>
        <v>7</v>
      </c>
      <c r="H1189" s="196" t="s">
        <v>504</v>
      </c>
      <c r="I1189" s="196"/>
      <c r="J1189" s="196" t="s">
        <v>29</v>
      </c>
      <c r="K1189" s="196"/>
      <c r="L1189" s="196" t="str">
        <v xml:space="preserve"> 22.25</v>
      </c>
      <c r="M1189" s="196"/>
    </row>
    <row r="1190" spans="1:13" ht="14.4" x14ac:dyDescent="0.3">
      <c r="A1190" s="189" t="str">
        <f ca="1">IFERROR(__xludf.DUMMYFUNCTION("""COMPUTED_VALUE"""),"NS")</f>
        <v>NS</v>
      </c>
      <c r="B1190" s="195" t="str">
        <f ca="1">IFERROR(__xludf.DUMMYFUNCTION("""COMPUTED_VALUE"""),"Maeve Tompkins")</f>
        <v>Maeve Tompkins</v>
      </c>
      <c r="C1190" s="189">
        <f ca="1">IFERROR(__xludf.DUMMYFUNCTION("""COMPUTED_VALUE"""),8)</f>
        <v>8</v>
      </c>
      <c r="D1190" s="189" t="str">
        <f ca="1">IFERROR(__xludf.DUMMYFUNCTION("""COMPUTED_VALUE"""),"G")</f>
        <v>G</v>
      </c>
      <c r="E1190" s="189" t="str">
        <f ca="1">IFERROR(__xludf.DUMMYFUNCTION("""COMPUTED_VALUE"""),"F")</f>
        <v>F</v>
      </c>
      <c r="F1190" s="189" t="str">
        <f ca="1">IFERROR(__xludf.DUMMYFUNCTION("""COMPUTED_VALUE"""),"J")</f>
        <v>J</v>
      </c>
      <c r="G1190" s="189">
        <f ca="1">IFERROR(__xludf.DUMMYFUNCTION("""COMPUTED_VALUE"""),7)</f>
        <v>7</v>
      </c>
      <c r="H1190" s="196" t="s">
        <v>505</v>
      </c>
      <c r="I1190" s="196"/>
      <c r="J1190" s="196" t="s">
        <v>29</v>
      </c>
      <c r="K1190" s="196"/>
      <c r="L1190" s="196" t="str">
        <v xml:space="preserve"> 57.10</v>
      </c>
      <c r="M1190" s="196"/>
    </row>
    <row r="1191" spans="1:13" ht="14.4" x14ac:dyDescent="0.3">
      <c r="A1191" s="189" t="str">
        <f ca="1">IFERROR(__xludf.DUMMYFUNCTION("""COMPUTED_VALUE"""),"NS")</f>
        <v>NS</v>
      </c>
      <c r="B1191" s="195" t="str">
        <f ca="1">IFERROR(__xludf.DUMMYFUNCTION("""COMPUTED_VALUE"""),"Morgan Autry")</f>
        <v>Morgan Autry</v>
      </c>
      <c r="C1191" s="189">
        <f ca="1">IFERROR(__xludf.DUMMYFUNCTION("""COMPUTED_VALUE"""),8)</f>
        <v>8</v>
      </c>
      <c r="D1191" s="189" t="str">
        <f ca="1">IFERROR(__xludf.DUMMYFUNCTION("""COMPUTED_VALUE"""),"G")</f>
        <v>G</v>
      </c>
      <c r="E1191" s="189" t="str">
        <f ca="1">IFERROR(__xludf.DUMMYFUNCTION("""COMPUTED_VALUE"""),"F")</f>
        <v>F</v>
      </c>
      <c r="F1191" s="189" t="str">
        <f ca="1">IFERROR(__xludf.DUMMYFUNCTION("""COMPUTED_VALUE"""),"J")</f>
        <v>J</v>
      </c>
      <c r="G1191" s="189">
        <f ca="1">IFERROR(__xludf.DUMMYFUNCTION("""COMPUTED_VALUE"""),7)</f>
        <v>7</v>
      </c>
      <c r="H1191" s="196" t="s">
        <v>506</v>
      </c>
      <c r="I1191" s="196"/>
      <c r="J1191" s="196" t="s">
        <v>29</v>
      </c>
      <c r="K1191" s="196"/>
      <c r="L1191" s="196" t="str">
        <v xml:space="preserve"> 28.10</v>
      </c>
      <c r="M1191" s="196"/>
    </row>
    <row r="1192" spans="1:13" ht="14.4" x14ac:dyDescent="0.3">
      <c r="A1192" s="189" t="str">
        <f ca="1">IFERROR(__xludf.DUMMYFUNCTION("""COMPUTED_VALUE"""),"NS")</f>
        <v>NS</v>
      </c>
      <c r="B1192" s="195" t="str">
        <f ca="1">IFERROR(__xludf.DUMMYFUNCTION("""COMPUTED_VALUE"""),"Olivia Dyer")</f>
        <v>Olivia Dyer</v>
      </c>
      <c r="C1192" s="189">
        <f ca="1">IFERROR(__xludf.DUMMYFUNCTION("""COMPUTED_VALUE"""),7)</f>
        <v>7</v>
      </c>
      <c r="D1192" s="189" t="str">
        <f ca="1">IFERROR(__xludf.DUMMYFUNCTION("""COMPUTED_VALUE"""),"G")</f>
        <v>G</v>
      </c>
      <c r="E1192" s="189" t="str">
        <f ca="1">IFERROR(__xludf.DUMMYFUNCTION("""COMPUTED_VALUE"""),"F")</f>
        <v>F</v>
      </c>
      <c r="F1192" s="189" t="str">
        <f ca="1">IFERROR(__xludf.DUMMYFUNCTION("""COMPUTED_VALUE"""),"J")</f>
        <v>J</v>
      </c>
      <c r="G1192" s="189">
        <f ca="1">IFERROR(__xludf.DUMMYFUNCTION("""COMPUTED_VALUE"""),7)</f>
        <v>7</v>
      </c>
      <c r="H1192" s="196" t="s">
        <v>507</v>
      </c>
      <c r="I1192" s="196"/>
      <c r="J1192" s="196" t="s">
        <v>29</v>
      </c>
      <c r="K1192" s="196"/>
      <c r="L1192" s="196" t="str">
        <v xml:space="preserve"> 26.50</v>
      </c>
      <c r="M1192" s="196"/>
    </row>
    <row r="1193" spans="1:13" ht="14.4" x14ac:dyDescent="0.3">
      <c r="A1193" s="189" t="str">
        <f ca="1">IFERROR(__xludf.DUMMYFUNCTION("""COMPUTED_VALUE"""),"NS")</f>
        <v>NS</v>
      </c>
      <c r="B1193" s="195" t="str">
        <f ca="1">IFERROR(__xludf.DUMMYFUNCTION("""COMPUTED_VALUE"""),"Bradley Johnson")</f>
        <v>Bradley Johnson</v>
      </c>
      <c r="C1193" s="189">
        <f ca="1">IFERROR(__xludf.DUMMYFUNCTION("""COMPUTED_VALUE"""),10)</f>
        <v>10</v>
      </c>
      <c r="D1193" s="189" t="str">
        <f ca="1">IFERROR(__xludf.DUMMYFUNCTION("""COMPUTED_VALUE"""),"B")</f>
        <v>B</v>
      </c>
      <c r="E1193" s="189" t="str">
        <f ca="1">IFERROR(__xludf.DUMMYFUNCTION("""COMPUTED_VALUE"""),"F")</f>
        <v>F</v>
      </c>
      <c r="F1193" s="189" t="str">
        <f ca="1">IFERROR(__xludf.DUMMYFUNCTION("""COMPUTED_VALUE"""),"J")</f>
        <v>J</v>
      </c>
      <c r="G1193" s="189">
        <f ca="1">IFERROR(__xludf.DUMMYFUNCTION("""COMPUTED_VALUE"""),7)</f>
        <v>7</v>
      </c>
      <c r="H1193" s="196"/>
      <c r="I1193" s="196"/>
      <c r="J1193" s="196"/>
      <c r="K1193" s="196"/>
      <c r="L1193" s="196" t="str">
        <v/>
      </c>
      <c r="M1193" s="196"/>
    </row>
    <row r="1194" spans="1:13" ht="14.4" x14ac:dyDescent="0.3">
      <c r="A1194" s="189" t="str">
        <f ca="1">IFERROR(__xludf.DUMMYFUNCTION("""COMPUTED_VALUE"""),"NS")</f>
        <v>NS</v>
      </c>
      <c r="B1194" s="195" t="str">
        <f ca="1">IFERROR(__xludf.DUMMYFUNCTION("""COMPUTED_VALUE"""),"Euston Birkelbach")</f>
        <v>Euston Birkelbach</v>
      </c>
      <c r="C1194" s="189">
        <f ca="1">IFERROR(__xludf.DUMMYFUNCTION("""COMPUTED_VALUE"""),10)</f>
        <v>10</v>
      </c>
      <c r="D1194" s="189" t="str">
        <f ca="1">IFERROR(__xludf.DUMMYFUNCTION("""COMPUTED_VALUE"""),"B")</f>
        <v>B</v>
      </c>
      <c r="E1194" s="189" t="str">
        <f ca="1">IFERROR(__xludf.DUMMYFUNCTION("""COMPUTED_VALUE"""),"F")</f>
        <v>F</v>
      </c>
      <c r="F1194" s="189" t="str">
        <f ca="1">IFERROR(__xludf.DUMMYFUNCTION("""COMPUTED_VALUE"""),"J")</f>
        <v>J</v>
      </c>
      <c r="G1194" s="189">
        <f ca="1">IFERROR(__xludf.DUMMYFUNCTION("""COMPUTED_VALUE"""),7)</f>
        <v>7</v>
      </c>
      <c r="H1194" s="196" t="s">
        <v>508</v>
      </c>
      <c r="I1194" s="196"/>
      <c r="J1194" s="196" t="s">
        <v>29</v>
      </c>
      <c r="K1194" s="196"/>
      <c r="L1194" s="196" t="str">
        <v xml:space="preserve"> 38.05</v>
      </c>
      <c r="M1194" s="196"/>
    </row>
    <row r="1195" spans="1:13" ht="14.4" x14ac:dyDescent="0.3">
      <c r="A1195" s="189" t="str">
        <f ca="1">IFERROR(__xludf.DUMMYFUNCTION("""COMPUTED_VALUE"""),"NS")</f>
        <v>NS</v>
      </c>
      <c r="B1195" s="195" t="str">
        <f ca="1">IFERROR(__xludf.DUMMYFUNCTION("""COMPUTED_VALUE"""),"Isaiah Phillips")</f>
        <v>Isaiah Phillips</v>
      </c>
      <c r="C1195" s="189">
        <f ca="1">IFERROR(__xludf.DUMMYFUNCTION("""COMPUTED_VALUE"""),10)</f>
        <v>10</v>
      </c>
      <c r="D1195" s="189" t="str">
        <f ca="1">IFERROR(__xludf.DUMMYFUNCTION("""COMPUTED_VALUE"""),"B")</f>
        <v>B</v>
      </c>
      <c r="E1195" s="189" t="str">
        <f ca="1">IFERROR(__xludf.DUMMYFUNCTION("""COMPUTED_VALUE"""),"F")</f>
        <v>F</v>
      </c>
      <c r="F1195" s="189" t="str">
        <f ca="1">IFERROR(__xludf.DUMMYFUNCTION("""COMPUTED_VALUE"""),"J")</f>
        <v>J</v>
      </c>
      <c r="G1195" s="189">
        <f ca="1">IFERROR(__xludf.DUMMYFUNCTION("""COMPUTED_VALUE"""),7)</f>
        <v>7</v>
      </c>
      <c r="H1195" s="196"/>
      <c r="I1195" s="196"/>
      <c r="J1195" s="196"/>
      <c r="K1195" s="196"/>
      <c r="L1195" s="196" t="str">
        <v/>
      </c>
      <c r="M1195" s="196"/>
    </row>
    <row r="1196" spans="1:13" ht="14.4" x14ac:dyDescent="0.3">
      <c r="A1196" s="189" t="str">
        <f ca="1">IFERROR(__xludf.DUMMYFUNCTION("""COMPUTED_VALUE"""),"NS")</f>
        <v>NS</v>
      </c>
      <c r="B1196" s="195" t="str">
        <f ca="1">IFERROR(__xludf.DUMMYFUNCTION("""COMPUTED_VALUE"""),"Jasper Albers")</f>
        <v>Jasper Albers</v>
      </c>
      <c r="C1196" s="189">
        <f ca="1">IFERROR(__xludf.DUMMYFUNCTION("""COMPUTED_VALUE"""),8)</f>
        <v>8</v>
      </c>
      <c r="D1196" s="189" t="str">
        <f ca="1">IFERROR(__xludf.DUMMYFUNCTION("""COMPUTED_VALUE"""),"B")</f>
        <v>B</v>
      </c>
      <c r="E1196" s="189" t="str">
        <f ca="1">IFERROR(__xludf.DUMMYFUNCTION("""COMPUTED_VALUE"""),"F")</f>
        <v>F</v>
      </c>
      <c r="F1196" s="189" t="str">
        <f ca="1">IFERROR(__xludf.DUMMYFUNCTION("""COMPUTED_VALUE"""),"J")</f>
        <v>J</v>
      </c>
      <c r="G1196" s="189">
        <f ca="1">IFERROR(__xludf.DUMMYFUNCTION("""COMPUTED_VALUE"""),7)</f>
        <v>7</v>
      </c>
      <c r="H1196" s="196" t="s">
        <v>509</v>
      </c>
      <c r="I1196" s="196"/>
      <c r="J1196" s="196" t="s">
        <v>29</v>
      </c>
      <c r="K1196" s="196"/>
      <c r="L1196" s="196" t="str">
        <v xml:space="preserve"> 54.75</v>
      </c>
      <c r="M1196" s="196"/>
    </row>
    <row r="1197" spans="1:13" ht="14.4" x14ac:dyDescent="0.3">
      <c r="A1197" s="189" t="str">
        <f ca="1">IFERROR(__xludf.DUMMYFUNCTION("""COMPUTED_VALUE"""),"NS")</f>
        <v>NS</v>
      </c>
      <c r="B1197" s="195" t="str">
        <f ca="1">IFERROR(__xludf.DUMMYFUNCTION("""COMPUTED_VALUE"""),"Kenzo Bills")</f>
        <v>Kenzo Bills</v>
      </c>
      <c r="C1197" s="189">
        <f ca="1">IFERROR(__xludf.DUMMYFUNCTION("""COMPUTED_VALUE"""),8)</f>
        <v>8</v>
      </c>
      <c r="D1197" s="189" t="str">
        <f ca="1">IFERROR(__xludf.DUMMYFUNCTION("""COMPUTED_VALUE"""),"B")</f>
        <v>B</v>
      </c>
      <c r="E1197" s="189" t="str">
        <f ca="1">IFERROR(__xludf.DUMMYFUNCTION("""COMPUTED_VALUE"""),"F")</f>
        <v>F</v>
      </c>
      <c r="F1197" s="189" t="str">
        <f ca="1">IFERROR(__xludf.DUMMYFUNCTION("""COMPUTED_VALUE"""),"J")</f>
        <v>J</v>
      </c>
      <c r="G1197" s="189">
        <f ca="1">IFERROR(__xludf.DUMMYFUNCTION("""COMPUTED_VALUE"""),7)</f>
        <v>7</v>
      </c>
      <c r="H1197" s="196" t="s">
        <v>510</v>
      </c>
      <c r="I1197" s="196"/>
      <c r="J1197" s="196" t="s">
        <v>29</v>
      </c>
      <c r="K1197" s="196"/>
      <c r="L1197" s="196" t="str">
        <v xml:space="preserve"> 45.35</v>
      </c>
      <c r="M1197" s="196"/>
    </row>
    <row r="1198" spans="1:13" ht="14.4" x14ac:dyDescent="0.3">
      <c r="A1198" s="189" t="str">
        <f ca="1">IFERROR(__xludf.DUMMYFUNCTION("""COMPUTED_VALUE"""),"NS")</f>
        <v>NS</v>
      </c>
      <c r="B1198" s="195" t="str">
        <f ca="1">IFERROR(__xludf.DUMMYFUNCTION("""COMPUTED_VALUE"""),"Orion Albers")</f>
        <v>Orion Albers</v>
      </c>
      <c r="C1198" s="189">
        <f ca="1">IFERROR(__xludf.DUMMYFUNCTION("""COMPUTED_VALUE"""),6)</f>
        <v>6</v>
      </c>
      <c r="D1198" s="189" t="str">
        <f ca="1">IFERROR(__xludf.DUMMYFUNCTION("""COMPUTED_VALUE"""),"B")</f>
        <v>B</v>
      </c>
      <c r="E1198" s="189" t="str">
        <f ca="1">IFERROR(__xludf.DUMMYFUNCTION("""COMPUTED_VALUE"""),"F")</f>
        <v>F</v>
      </c>
      <c r="F1198" s="189" t="str">
        <f ca="1">IFERROR(__xludf.DUMMYFUNCTION("""COMPUTED_VALUE"""),"J")</f>
        <v>J</v>
      </c>
      <c r="G1198" s="189">
        <f ca="1">IFERROR(__xludf.DUMMYFUNCTION("""COMPUTED_VALUE"""),7)</f>
        <v>7</v>
      </c>
      <c r="H1198" s="196" t="s">
        <v>511</v>
      </c>
      <c r="I1198" s="196"/>
      <c r="J1198" s="196" t="s">
        <v>29</v>
      </c>
      <c r="K1198" s="196"/>
      <c r="L1198" s="196" t="str">
        <v xml:space="preserve"> 10.50</v>
      </c>
      <c r="M1198" s="196"/>
    </row>
    <row r="1199" spans="1:13" ht="14.4" x14ac:dyDescent="0.3">
      <c r="A1199" s="189" t="str">
        <f ca="1">IFERROR(__xludf.DUMMYFUNCTION("""COMPUTED_VALUE"""),"NS")</f>
        <v>NS</v>
      </c>
      <c r="B1199" s="195" t="str">
        <f ca="1">IFERROR(__xludf.DUMMYFUNCTION("""COMPUTED_VALUE"""),"Emily Field")</f>
        <v>Emily Field</v>
      </c>
      <c r="C1199" s="189">
        <f ca="1">IFERROR(__xludf.DUMMYFUNCTION("""COMPUTED_VALUE"""),14)</f>
        <v>14</v>
      </c>
      <c r="D1199" s="189" t="str">
        <f ca="1">IFERROR(__xludf.DUMMYFUNCTION("""COMPUTED_VALUE"""),"G")</f>
        <v>G</v>
      </c>
      <c r="E1199" s="189" t="str">
        <f ca="1">IFERROR(__xludf.DUMMYFUNCTION("""COMPUTED_VALUE"""),"I")</f>
        <v>I</v>
      </c>
      <c r="F1199" s="189" t="str">
        <f ca="1">IFERROR(__xludf.DUMMYFUNCTION("""COMPUTED_VALUE"""),"S")</f>
        <v>S</v>
      </c>
      <c r="G1199" s="189">
        <f ca="1">IFERROR(__xludf.DUMMYFUNCTION("""COMPUTED_VALUE"""),7)</f>
        <v>7</v>
      </c>
      <c r="H1199" s="196"/>
      <c r="I1199" s="196"/>
      <c r="J1199" s="196"/>
      <c r="K1199" s="196"/>
      <c r="L1199" s="196" t="str">
        <v/>
      </c>
      <c r="M1199" s="196"/>
    </row>
    <row r="1200" spans="1:13" ht="14.4" x14ac:dyDescent="0.3">
      <c r="A1200" s="189" t="str">
        <f ca="1">IFERROR(__xludf.DUMMYFUNCTION("""COMPUTED_VALUE"""),"NS")</f>
        <v>NS</v>
      </c>
      <c r="B1200" s="195" t="str">
        <f ca="1">IFERROR(__xludf.DUMMYFUNCTION("""COMPUTED_VALUE"""),"Isabella D'Ambrogi")</f>
        <v>Isabella D'Ambrogi</v>
      </c>
      <c r="C1200" s="189">
        <f ca="1">IFERROR(__xludf.DUMMYFUNCTION("""COMPUTED_VALUE"""),13)</f>
        <v>13</v>
      </c>
      <c r="D1200" s="189" t="str">
        <f ca="1">IFERROR(__xludf.DUMMYFUNCTION("""COMPUTED_VALUE"""),"G")</f>
        <v>G</v>
      </c>
      <c r="E1200" s="189" t="str">
        <f ca="1">IFERROR(__xludf.DUMMYFUNCTION("""COMPUTED_VALUE"""),"I")</f>
        <v>I</v>
      </c>
      <c r="F1200" s="189" t="str">
        <f ca="1">IFERROR(__xludf.DUMMYFUNCTION("""COMPUTED_VALUE"""),"S")</f>
        <v>S</v>
      </c>
      <c r="G1200" s="189">
        <f ca="1">IFERROR(__xludf.DUMMYFUNCTION("""COMPUTED_VALUE"""),7)</f>
        <v>7</v>
      </c>
      <c r="H1200" s="196" t="s">
        <v>512</v>
      </c>
      <c r="I1200" s="196"/>
      <c r="J1200" s="196" t="s">
        <v>29</v>
      </c>
      <c r="K1200" s="196"/>
      <c r="L1200" s="196" t="str">
        <v xml:space="preserve"> 100.80</v>
      </c>
      <c r="M1200" s="196"/>
    </row>
    <row r="1201" spans="1:13" ht="14.4" x14ac:dyDescent="0.3">
      <c r="A1201" s="189" t="str">
        <f ca="1">IFERROR(__xludf.DUMMYFUNCTION("""COMPUTED_VALUE"""),"NS")</f>
        <v>NS</v>
      </c>
      <c r="B1201" s="195" t="str">
        <f ca="1">IFERROR(__xludf.DUMMYFUNCTION("""COMPUTED_VALUE"""),"Alberto Tolentino")</f>
        <v>Alberto Tolentino</v>
      </c>
      <c r="C1201" s="189">
        <f ca="1">IFERROR(__xludf.DUMMYFUNCTION("""COMPUTED_VALUE"""),14)</f>
        <v>14</v>
      </c>
      <c r="D1201" s="189" t="str">
        <f ca="1">IFERROR(__xludf.DUMMYFUNCTION("""COMPUTED_VALUE"""),"B")</f>
        <v>B</v>
      </c>
      <c r="E1201" s="189" t="str">
        <f ca="1">IFERROR(__xludf.DUMMYFUNCTION("""COMPUTED_VALUE"""),"I")</f>
        <v>I</v>
      </c>
      <c r="F1201" s="189" t="str">
        <f ca="1">IFERROR(__xludf.DUMMYFUNCTION("""COMPUTED_VALUE"""),"S")</f>
        <v>S</v>
      </c>
      <c r="G1201" s="189">
        <f ca="1">IFERROR(__xludf.DUMMYFUNCTION("""COMPUTED_VALUE"""),7)</f>
        <v>7</v>
      </c>
      <c r="H1201" s="196"/>
      <c r="I1201" s="196"/>
      <c r="J1201" s="196"/>
      <c r="K1201" s="196"/>
      <c r="L1201" s="196" t="str">
        <v/>
      </c>
      <c r="M1201" s="196"/>
    </row>
    <row r="1202" spans="1:13" ht="14.4" x14ac:dyDescent="0.3">
      <c r="A1202" s="189" t="str">
        <f ca="1">IFERROR(__xludf.DUMMYFUNCTION("""COMPUTED_VALUE"""),"NS")</f>
        <v>NS</v>
      </c>
      <c r="B1202" s="195" t="str">
        <f ca="1">IFERROR(__xludf.DUMMYFUNCTION("""COMPUTED_VALUE"""),"Ethan Dalrymple")</f>
        <v>Ethan Dalrymple</v>
      </c>
      <c r="C1202" s="189">
        <f ca="1">IFERROR(__xludf.DUMMYFUNCTION("""COMPUTED_VALUE"""),13)</f>
        <v>13</v>
      </c>
      <c r="D1202" s="189" t="str">
        <f ca="1">IFERROR(__xludf.DUMMYFUNCTION("""COMPUTED_VALUE"""),"B")</f>
        <v>B</v>
      </c>
      <c r="E1202" s="189" t="str">
        <f ca="1">IFERROR(__xludf.DUMMYFUNCTION("""COMPUTED_VALUE"""),"I")</f>
        <v>I</v>
      </c>
      <c r="F1202" s="189" t="str">
        <f ca="1">IFERROR(__xludf.DUMMYFUNCTION("""COMPUTED_VALUE"""),"S")</f>
        <v>S</v>
      </c>
      <c r="G1202" s="189">
        <f ca="1">IFERROR(__xludf.DUMMYFUNCTION("""COMPUTED_VALUE"""),7)</f>
        <v>7</v>
      </c>
      <c r="H1202" s="196"/>
      <c r="I1202" s="196"/>
      <c r="J1202" s="196"/>
      <c r="K1202" s="196"/>
      <c r="L1202" s="196" t="str">
        <v/>
      </c>
      <c r="M1202" s="196"/>
    </row>
    <row r="1203" spans="1:13" ht="14.4" x14ac:dyDescent="0.3">
      <c r="A1203" s="189" t="str">
        <f ca="1">IFERROR(__xludf.DUMMYFUNCTION("""COMPUTED_VALUE"""),"NS")</f>
        <v>NS</v>
      </c>
      <c r="B1203" s="195" t="str">
        <f ca="1">IFERROR(__xludf.DUMMYFUNCTION("""COMPUTED_VALUE"""),"Avery Nguyen")</f>
        <v>Avery Nguyen</v>
      </c>
      <c r="C1203" s="189">
        <f ca="1">IFERROR(__xludf.DUMMYFUNCTION("""COMPUTED_VALUE"""),11)</f>
        <v>11</v>
      </c>
      <c r="D1203" s="189" t="str">
        <f ca="1">IFERROR(__xludf.DUMMYFUNCTION("""COMPUTED_VALUE"""),"G")</f>
        <v>G</v>
      </c>
      <c r="E1203" s="189" t="str">
        <f ca="1">IFERROR(__xludf.DUMMYFUNCTION("""COMPUTED_VALUE"""),"J")</f>
        <v>J</v>
      </c>
      <c r="F1203" s="189" t="str">
        <f ca="1">IFERROR(__xludf.DUMMYFUNCTION("""COMPUTED_VALUE"""),"I")</f>
        <v>I</v>
      </c>
      <c r="G1203" s="189">
        <f ca="1">IFERROR(__xludf.DUMMYFUNCTION("""COMPUTED_VALUE"""),7)</f>
        <v>7</v>
      </c>
      <c r="H1203" s="196"/>
      <c r="I1203" s="196"/>
      <c r="J1203" s="196"/>
      <c r="K1203" s="196"/>
      <c r="L1203" s="196" t="str">
        <v/>
      </c>
      <c r="M1203" s="196"/>
    </row>
    <row r="1204" spans="1:13" ht="14.4" x14ac:dyDescent="0.3">
      <c r="A1204" s="189" t="str">
        <f ca="1">IFERROR(__xludf.DUMMYFUNCTION("""COMPUTED_VALUE"""),"NS")</f>
        <v>NS</v>
      </c>
      <c r="B1204" s="195" t="str">
        <f ca="1">IFERROR(__xludf.DUMMYFUNCTION("""COMPUTED_VALUE"""),"Chloe Field")</f>
        <v>Chloe Field</v>
      </c>
      <c r="C1204" s="189">
        <f ca="1">IFERROR(__xludf.DUMMYFUNCTION("""COMPUTED_VALUE"""),12)</f>
        <v>12</v>
      </c>
      <c r="D1204" s="189" t="str">
        <f ca="1">IFERROR(__xludf.DUMMYFUNCTION("""COMPUTED_VALUE"""),"G")</f>
        <v>G</v>
      </c>
      <c r="E1204" s="189" t="str">
        <f ca="1">IFERROR(__xludf.DUMMYFUNCTION("""COMPUTED_VALUE"""),"J")</f>
        <v>J</v>
      </c>
      <c r="F1204" s="189" t="str">
        <f ca="1">IFERROR(__xludf.DUMMYFUNCTION("""COMPUTED_VALUE"""),"I")</f>
        <v>I</v>
      </c>
      <c r="G1204" s="189">
        <f ca="1">IFERROR(__xludf.DUMMYFUNCTION("""COMPUTED_VALUE"""),7)</f>
        <v>7</v>
      </c>
      <c r="H1204" s="196" t="s">
        <v>513</v>
      </c>
      <c r="I1204" s="196"/>
      <c r="J1204" s="196" t="s">
        <v>29</v>
      </c>
      <c r="K1204" s="196"/>
      <c r="L1204" s="196" t="str">
        <v xml:space="preserve"> 84.55</v>
      </c>
      <c r="M1204" s="196"/>
    </row>
    <row r="1205" spans="1:13" ht="14.4" x14ac:dyDescent="0.3">
      <c r="A1205" s="189" t="str">
        <f ca="1">IFERROR(__xludf.DUMMYFUNCTION("""COMPUTED_VALUE"""),"NS")</f>
        <v>NS</v>
      </c>
      <c r="B1205" s="195" t="str">
        <f ca="1">IFERROR(__xludf.DUMMYFUNCTION("""COMPUTED_VALUE"""),"Evie Spickelmier")</f>
        <v>Evie Spickelmier</v>
      </c>
      <c r="C1205" s="189">
        <f ca="1">IFERROR(__xludf.DUMMYFUNCTION("""COMPUTED_VALUE"""),11)</f>
        <v>11</v>
      </c>
      <c r="D1205" s="189" t="str">
        <f ca="1">IFERROR(__xludf.DUMMYFUNCTION("""COMPUTED_VALUE"""),"G")</f>
        <v>G</v>
      </c>
      <c r="E1205" s="189" t="str">
        <f ca="1">IFERROR(__xludf.DUMMYFUNCTION("""COMPUTED_VALUE"""),"J")</f>
        <v>J</v>
      </c>
      <c r="F1205" s="189" t="str">
        <f ca="1">IFERROR(__xludf.DUMMYFUNCTION("""COMPUTED_VALUE"""),"I")</f>
        <v>I</v>
      </c>
      <c r="G1205" s="189">
        <f ca="1">IFERROR(__xludf.DUMMYFUNCTION("""COMPUTED_VALUE"""),7)</f>
        <v>7</v>
      </c>
      <c r="H1205" s="196"/>
      <c r="I1205" s="196"/>
      <c r="J1205" s="196"/>
      <c r="K1205" s="196"/>
      <c r="L1205" s="196" t="str">
        <v/>
      </c>
      <c r="M1205" s="196"/>
    </row>
    <row r="1206" spans="1:13" ht="14.4" x14ac:dyDescent="0.3">
      <c r="A1206" s="189" t="str">
        <f ca="1">IFERROR(__xludf.DUMMYFUNCTION("""COMPUTED_VALUE"""),"NS")</f>
        <v>NS</v>
      </c>
      <c r="B1206" s="195" t="str">
        <f ca="1">IFERROR(__xludf.DUMMYFUNCTION("""COMPUTED_VALUE"""),"Gabi Simone")</f>
        <v>Gabi Simone</v>
      </c>
      <c r="C1206" s="189">
        <f ca="1">IFERROR(__xludf.DUMMYFUNCTION("""COMPUTED_VALUE"""),12)</f>
        <v>12</v>
      </c>
      <c r="D1206" s="189" t="str">
        <f ca="1">IFERROR(__xludf.DUMMYFUNCTION("""COMPUTED_VALUE"""),"G")</f>
        <v>G</v>
      </c>
      <c r="E1206" s="189" t="str">
        <f ca="1">IFERROR(__xludf.DUMMYFUNCTION("""COMPUTED_VALUE"""),"J")</f>
        <v>J</v>
      </c>
      <c r="F1206" s="189" t="str">
        <f ca="1">IFERROR(__xludf.DUMMYFUNCTION("""COMPUTED_VALUE"""),"I")</f>
        <v>I</v>
      </c>
      <c r="G1206" s="189">
        <f ca="1">IFERROR(__xludf.DUMMYFUNCTION("""COMPUTED_VALUE"""),7)</f>
        <v>7</v>
      </c>
      <c r="H1206" s="196" t="s">
        <v>514</v>
      </c>
      <c r="I1206" s="196"/>
      <c r="J1206" s="196" t="s">
        <v>29</v>
      </c>
      <c r="K1206" s="196"/>
      <c r="L1206" s="196" t="str">
        <v xml:space="preserve"> 91.65</v>
      </c>
      <c r="M1206" s="196"/>
    </row>
    <row r="1207" spans="1:13" ht="14.4" x14ac:dyDescent="0.3">
      <c r="A1207" s="189" t="str">
        <f ca="1">IFERROR(__xludf.DUMMYFUNCTION("""COMPUTED_VALUE"""),"NS")</f>
        <v>NS</v>
      </c>
      <c r="B1207" s="195" t="str">
        <f ca="1">IFERROR(__xludf.DUMMYFUNCTION("""COMPUTED_VALUE"""),"Natalia Haley")</f>
        <v>Natalia Haley</v>
      </c>
      <c r="C1207" s="189">
        <f ca="1">IFERROR(__xludf.DUMMYFUNCTION("""COMPUTED_VALUE"""),12)</f>
        <v>12</v>
      </c>
      <c r="D1207" s="189" t="str">
        <f ca="1">IFERROR(__xludf.DUMMYFUNCTION("""COMPUTED_VALUE"""),"G")</f>
        <v>G</v>
      </c>
      <c r="E1207" s="189" t="str">
        <f ca="1">IFERROR(__xludf.DUMMYFUNCTION("""COMPUTED_VALUE"""),"J")</f>
        <v>J</v>
      </c>
      <c r="F1207" s="189" t="str">
        <f ca="1">IFERROR(__xludf.DUMMYFUNCTION("""COMPUTED_VALUE"""),"I")</f>
        <v>I</v>
      </c>
      <c r="G1207" s="189">
        <f ca="1">IFERROR(__xludf.DUMMYFUNCTION("""COMPUTED_VALUE"""),7)</f>
        <v>7</v>
      </c>
      <c r="H1207" s="196" t="s">
        <v>515</v>
      </c>
      <c r="I1207" s="196"/>
      <c r="J1207" s="196" t="s">
        <v>29</v>
      </c>
      <c r="K1207" s="196"/>
      <c r="L1207" s="196" t="str">
        <v xml:space="preserve"> 105.00</v>
      </c>
      <c r="M1207" s="196"/>
    </row>
    <row r="1208" spans="1:13" ht="14.4" x14ac:dyDescent="0.3">
      <c r="A1208" s="189" t="str">
        <f ca="1">IFERROR(__xludf.DUMMYFUNCTION("""COMPUTED_VALUE"""),"NS")</f>
        <v>NS</v>
      </c>
      <c r="B1208" s="195" t="str">
        <f ca="1">IFERROR(__xludf.DUMMYFUNCTION("""COMPUTED_VALUE"""),"Alexi Ramis")</f>
        <v>Alexi Ramis</v>
      </c>
      <c r="C1208" s="189">
        <f ca="1">IFERROR(__xludf.DUMMYFUNCTION("""COMPUTED_VALUE"""),11)</f>
        <v>11</v>
      </c>
      <c r="D1208" s="189" t="str">
        <f ca="1">IFERROR(__xludf.DUMMYFUNCTION("""COMPUTED_VALUE"""),"B")</f>
        <v>B</v>
      </c>
      <c r="E1208" s="189" t="str">
        <f ca="1">IFERROR(__xludf.DUMMYFUNCTION("""COMPUTED_VALUE"""),"J")</f>
        <v>J</v>
      </c>
      <c r="F1208" s="189" t="str">
        <f ca="1">IFERROR(__xludf.DUMMYFUNCTION("""COMPUTED_VALUE"""),"I")</f>
        <v>I</v>
      </c>
      <c r="G1208" s="189">
        <f ca="1">IFERROR(__xludf.DUMMYFUNCTION("""COMPUTED_VALUE"""),7)</f>
        <v>7</v>
      </c>
      <c r="H1208" s="196"/>
      <c r="I1208" s="196"/>
      <c r="J1208" s="196"/>
      <c r="K1208" s="196"/>
      <c r="L1208" s="196" t="str">
        <v/>
      </c>
      <c r="M1208" s="196"/>
    </row>
    <row r="1209" spans="1:13" ht="14.4" x14ac:dyDescent="0.3">
      <c r="A1209" s="189" t="str">
        <f ca="1">IFERROR(__xludf.DUMMYFUNCTION("""COMPUTED_VALUE"""),"NS")</f>
        <v>NS</v>
      </c>
      <c r="B1209" s="195" t="str">
        <f ca="1">IFERROR(__xludf.DUMMYFUNCTION("""COMPUTED_VALUE"""),"Bennett Birkelbach")</f>
        <v>Bennett Birkelbach</v>
      </c>
      <c r="C1209" s="189">
        <f ca="1">IFERROR(__xludf.DUMMYFUNCTION("""COMPUTED_VALUE"""),12)</f>
        <v>12</v>
      </c>
      <c r="D1209" s="189" t="str">
        <f ca="1">IFERROR(__xludf.DUMMYFUNCTION("""COMPUTED_VALUE"""),"B")</f>
        <v>B</v>
      </c>
      <c r="E1209" s="189" t="str">
        <f ca="1">IFERROR(__xludf.DUMMYFUNCTION("""COMPUTED_VALUE"""),"J")</f>
        <v>J</v>
      </c>
      <c r="F1209" s="189" t="str">
        <f ca="1">IFERROR(__xludf.DUMMYFUNCTION("""COMPUTED_VALUE"""),"I")</f>
        <v>I</v>
      </c>
      <c r="G1209" s="189">
        <f ca="1">IFERROR(__xludf.DUMMYFUNCTION("""COMPUTED_VALUE"""),7)</f>
        <v>7</v>
      </c>
      <c r="H1209" s="196" t="s">
        <v>343</v>
      </c>
      <c r="I1209" s="196"/>
      <c r="J1209" s="196" t="s">
        <v>29</v>
      </c>
      <c r="K1209" s="196"/>
      <c r="L1209" s="196" t="str">
        <v xml:space="preserve"> 27.90</v>
      </c>
      <c r="M1209" s="196"/>
    </row>
    <row r="1210" spans="1:13" ht="14.4" x14ac:dyDescent="0.3">
      <c r="A1210" s="189" t="str">
        <f ca="1">IFERROR(__xludf.DUMMYFUNCTION("""COMPUTED_VALUE"""),"NS")</f>
        <v>NS</v>
      </c>
      <c r="B1210" s="195" t="str">
        <f ca="1">IFERROR(__xludf.DUMMYFUNCTION("""COMPUTED_VALUE"""),"Carlos Manuel Iguina Espinoza")</f>
        <v>Carlos Manuel Iguina Espinoza</v>
      </c>
      <c r="C1210" s="189">
        <f ca="1">IFERROR(__xludf.DUMMYFUNCTION("""COMPUTED_VALUE"""),12)</f>
        <v>12</v>
      </c>
      <c r="D1210" s="189" t="str">
        <f ca="1">IFERROR(__xludf.DUMMYFUNCTION("""COMPUTED_VALUE"""),"B")</f>
        <v>B</v>
      </c>
      <c r="E1210" s="189" t="str">
        <f ca="1">IFERROR(__xludf.DUMMYFUNCTION("""COMPUTED_VALUE"""),"J")</f>
        <v>J</v>
      </c>
      <c r="F1210" s="189" t="str">
        <f ca="1">IFERROR(__xludf.DUMMYFUNCTION("""COMPUTED_VALUE"""),"I")</f>
        <v>I</v>
      </c>
      <c r="G1210" s="189">
        <f ca="1">IFERROR(__xludf.DUMMYFUNCTION("""COMPUTED_VALUE"""),7)</f>
        <v>7</v>
      </c>
      <c r="H1210" s="196"/>
      <c r="I1210" s="196"/>
      <c r="J1210" s="196"/>
      <c r="K1210" s="196"/>
      <c r="L1210" s="196" t="str">
        <v/>
      </c>
      <c r="M1210" s="196"/>
    </row>
    <row r="1211" spans="1:13" ht="14.4" x14ac:dyDescent="0.3">
      <c r="A1211" s="189" t="str">
        <f ca="1">IFERROR(__xludf.DUMMYFUNCTION("""COMPUTED_VALUE"""),"NS")</f>
        <v>NS</v>
      </c>
      <c r="B1211" s="195" t="str">
        <f ca="1">IFERROR(__xludf.DUMMYFUNCTION("""COMPUTED_VALUE"""),"Phil Bernard")</f>
        <v>Phil Bernard</v>
      </c>
      <c r="C1211" s="189">
        <f ca="1">IFERROR(__xludf.DUMMYFUNCTION("""COMPUTED_VALUE"""),12)</f>
        <v>12</v>
      </c>
      <c r="D1211" s="189" t="str">
        <f ca="1">IFERROR(__xludf.DUMMYFUNCTION("""COMPUTED_VALUE"""),"B")</f>
        <v>B</v>
      </c>
      <c r="E1211" s="189" t="str">
        <f ca="1">IFERROR(__xludf.DUMMYFUNCTION("""COMPUTED_VALUE"""),"J")</f>
        <v>J</v>
      </c>
      <c r="F1211" s="189" t="str">
        <f ca="1">IFERROR(__xludf.DUMMYFUNCTION("""COMPUTED_VALUE"""),"I")</f>
        <v>I</v>
      </c>
      <c r="G1211" s="189">
        <f ca="1">IFERROR(__xludf.DUMMYFUNCTION("""COMPUTED_VALUE"""),7)</f>
        <v>7</v>
      </c>
      <c r="H1211" s="196"/>
      <c r="I1211" s="196"/>
      <c r="J1211" s="196"/>
      <c r="K1211" s="196"/>
      <c r="L1211" s="196" t="str">
        <v/>
      </c>
      <c r="M1211" s="196"/>
    </row>
    <row r="1212" spans="1:13" ht="14.4" x14ac:dyDescent="0.3">
      <c r="A1212" s="189" t="str">
        <f ca="1">IFERROR(__xludf.DUMMYFUNCTION("""COMPUTED_VALUE"""),"NS")</f>
        <v>NS</v>
      </c>
      <c r="B1212" s="195" t="str">
        <f ca="1">IFERROR(__xludf.DUMMYFUNCTION("""COMPUTED_VALUE"""),"Ryan Guy")</f>
        <v>Ryan Guy</v>
      </c>
      <c r="C1212" s="189">
        <f ca="1">IFERROR(__xludf.DUMMYFUNCTION("""COMPUTED_VALUE"""),12)</f>
        <v>12</v>
      </c>
      <c r="D1212" s="189" t="str">
        <f ca="1">IFERROR(__xludf.DUMMYFUNCTION("""COMPUTED_VALUE"""),"B")</f>
        <v>B</v>
      </c>
      <c r="E1212" s="189" t="str">
        <f ca="1">IFERROR(__xludf.DUMMYFUNCTION("""COMPUTED_VALUE"""),"J")</f>
        <v>J</v>
      </c>
      <c r="F1212" s="189" t="str">
        <f ca="1">IFERROR(__xludf.DUMMYFUNCTION("""COMPUTED_VALUE"""),"I")</f>
        <v>I</v>
      </c>
      <c r="G1212" s="189">
        <f ca="1">IFERROR(__xludf.DUMMYFUNCTION("""COMPUTED_VALUE"""),7)</f>
        <v>7</v>
      </c>
      <c r="H1212" s="196" t="s">
        <v>516</v>
      </c>
      <c r="I1212" s="196"/>
      <c r="J1212" s="196" t="s">
        <v>29</v>
      </c>
      <c r="K1212" s="196"/>
      <c r="L1212" s="196" t="str">
        <v xml:space="preserve"> 77.60</v>
      </c>
      <c r="M1212" s="196"/>
    </row>
    <row r="1213" spans="1:13" ht="14.4" x14ac:dyDescent="0.3">
      <c r="A1213" s="189" t="str">
        <f ca="1">IFERROR(__xludf.DUMMYFUNCTION("""COMPUTED_VALUE"""),"NS")</f>
        <v>NS</v>
      </c>
      <c r="B1213" s="195" t="str">
        <f ca="1">IFERROR(__xludf.DUMMYFUNCTION("""COMPUTED_VALUE"""),"Yousef Chawki")</f>
        <v>Yousef Chawki</v>
      </c>
      <c r="C1213" s="189">
        <f ca="1">IFERROR(__xludf.DUMMYFUNCTION("""COMPUTED_VALUE"""),12)</f>
        <v>12</v>
      </c>
      <c r="D1213" s="189" t="str">
        <f ca="1">IFERROR(__xludf.DUMMYFUNCTION("""COMPUTED_VALUE"""),"B")</f>
        <v>B</v>
      </c>
      <c r="E1213" s="189" t="str">
        <f ca="1">IFERROR(__xludf.DUMMYFUNCTION("""COMPUTED_VALUE"""),"J")</f>
        <v>J</v>
      </c>
      <c r="F1213" s="189" t="str">
        <f ca="1">IFERROR(__xludf.DUMMYFUNCTION("""COMPUTED_VALUE"""),"I")</f>
        <v>I</v>
      </c>
      <c r="G1213" s="189">
        <f ca="1">IFERROR(__xludf.DUMMYFUNCTION("""COMPUTED_VALUE"""),7)</f>
        <v>7</v>
      </c>
      <c r="H1213" s="196"/>
      <c r="I1213" s="196"/>
      <c r="J1213" s="196"/>
      <c r="K1213" s="196"/>
      <c r="L1213" s="196" t="str">
        <v/>
      </c>
      <c r="M1213" s="196"/>
    </row>
    <row r="1214" spans="1:13" ht="14.4" x14ac:dyDescent="0.3">
      <c r="A1214" s="189" t="str">
        <f ca="1">IFERROR(__xludf.DUMMYFUNCTION("""COMPUTED_VALUE"""),"NS")</f>
        <v>NS</v>
      </c>
      <c r="B1214" s="195" t="str">
        <f ca="1">IFERROR(__xludf.DUMMYFUNCTION("""COMPUTED_VALUE"""),"Keira Dalrymple")</f>
        <v>Keira Dalrymple</v>
      </c>
      <c r="C1214" s="189">
        <f ca="1">IFERROR(__xludf.DUMMYFUNCTION("""COMPUTED_VALUE"""),18)</f>
        <v>18</v>
      </c>
      <c r="D1214" s="189" t="str">
        <f ca="1">IFERROR(__xludf.DUMMYFUNCTION("""COMPUTED_VALUE"""),"G")</f>
        <v>G</v>
      </c>
      <c r="E1214" s="189" t="str">
        <f ca="1">IFERROR(__xludf.DUMMYFUNCTION("""COMPUTED_VALUE"""),"S")</f>
        <v>S</v>
      </c>
      <c r="F1214" s="189" t="str">
        <f ca="1">IFERROR(__xludf.DUMMYFUNCTION("""COMPUTED_VALUE"""),"S")</f>
        <v>S</v>
      </c>
      <c r="G1214" s="189">
        <f ca="1">IFERROR(__xludf.DUMMYFUNCTION("""COMPUTED_VALUE"""),7)</f>
        <v>7</v>
      </c>
      <c r="H1214" s="196"/>
      <c r="I1214" s="196"/>
      <c r="J1214" s="196"/>
      <c r="K1214" s="196"/>
      <c r="L1214" s="196" t="str">
        <v/>
      </c>
      <c r="M1214" s="196"/>
    </row>
    <row r="1215" spans="1:13" ht="14.4" x14ac:dyDescent="0.3">
      <c r="A1215" s="189" t="str">
        <f ca="1">IFERROR(__xludf.DUMMYFUNCTION("""COMPUTED_VALUE"""),"NS")</f>
        <v>NS</v>
      </c>
      <c r="B1215" s="195" t="str">
        <f ca="1">IFERROR(__xludf.DUMMYFUNCTION("""COMPUTED_VALUE"""),"Morgan Milman")</f>
        <v>Morgan Milman</v>
      </c>
      <c r="C1215" s="189">
        <f ca="1">IFERROR(__xludf.DUMMYFUNCTION("""COMPUTED_VALUE"""),18)</f>
        <v>18</v>
      </c>
      <c r="D1215" s="189" t="str">
        <f ca="1">IFERROR(__xludf.DUMMYFUNCTION("""COMPUTED_VALUE"""),"G")</f>
        <v>G</v>
      </c>
      <c r="E1215" s="189" t="str">
        <f ca="1">IFERROR(__xludf.DUMMYFUNCTION("""COMPUTED_VALUE"""),"S")</f>
        <v>S</v>
      </c>
      <c r="F1215" s="189" t="str">
        <f ca="1">IFERROR(__xludf.DUMMYFUNCTION("""COMPUTED_VALUE"""),"S")</f>
        <v>S</v>
      </c>
      <c r="G1215" s="189">
        <f ca="1">IFERROR(__xludf.DUMMYFUNCTION("""COMPUTED_VALUE"""),7)</f>
        <v>7</v>
      </c>
      <c r="H1215" s="196" t="s">
        <v>517</v>
      </c>
      <c r="I1215" s="196"/>
      <c r="J1215" s="196" t="s">
        <v>29</v>
      </c>
      <c r="K1215" s="196"/>
      <c r="L1215" s="196" t="str">
        <v xml:space="preserve"> 164.05</v>
      </c>
      <c r="M1215" s="196"/>
    </row>
    <row r="1216" spans="1:13" ht="14.4" x14ac:dyDescent="0.3">
      <c r="A1216" s="189" t="str">
        <f ca="1">IFERROR(__xludf.DUMMYFUNCTION("""COMPUTED_VALUE"""),"NS")</f>
        <v>NS</v>
      </c>
      <c r="B1216" s="195" t="str">
        <f ca="1">IFERROR(__xludf.DUMMYFUNCTION("""COMPUTED_VALUE"""),"Ethan Simone")</f>
        <v>Ethan Simone</v>
      </c>
      <c r="C1216" s="189">
        <f ca="1">IFERROR(__xludf.DUMMYFUNCTION("""COMPUTED_VALUE"""),16)</f>
        <v>16</v>
      </c>
      <c r="D1216" s="189" t="str">
        <f ca="1">IFERROR(__xludf.DUMMYFUNCTION("""COMPUTED_VALUE"""),"B")</f>
        <v>B</v>
      </c>
      <c r="E1216" s="189" t="str">
        <f ca="1">IFERROR(__xludf.DUMMYFUNCTION("""COMPUTED_VALUE"""),"S")</f>
        <v>S</v>
      </c>
      <c r="F1216" s="189" t="str">
        <f ca="1">IFERROR(__xludf.DUMMYFUNCTION("""COMPUTED_VALUE"""),"S")</f>
        <v>S</v>
      </c>
      <c r="G1216" s="189">
        <f ca="1">IFERROR(__xludf.DUMMYFUNCTION("""COMPUTED_VALUE"""),7)</f>
        <v>7</v>
      </c>
      <c r="H1216" s="196" t="s">
        <v>518</v>
      </c>
      <c r="I1216" s="196"/>
      <c r="J1216" s="196" t="s">
        <v>29</v>
      </c>
      <c r="K1216" s="196"/>
      <c r="L1216" s="196" t="str">
        <v xml:space="preserve"> 144.90</v>
      </c>
      <c r="M1216" s="196"/>
    </row>
    <row r="1217" spans="1:13" ht="14.4" x14ac:dyDescent="0.3">
      <c r="A1217" s="189" t="str">
        <f ca="1">IFERROR(__xludf.DUMMYFUNCTION("""COMPUTED_VALUE"""),"O")</f>
        <v>O</v>
      </c>
      <c r="B1217" s="195" t="str">
        <f ca="1">IFERROR(__xludf.DUMMYFUNCTION("""COMPUTED_VALUE"""),"Abigail Akers")</f>
        <v>Abigail Akers</v>
      </c>
      <c r="C1217" s="189">
        <f ca="1">IFERROR(__xludf.DUMMYFUNCTION("""COMPUTED_VALUE"""),6)</f>
        <v>6</v>
      </c>
      <c r="D1217" s="189" t="str">
        <f ca="1">IFERROR(__xludf.DUMMYFUNCTION("""COMPUTED_VALUE"""),"G")</f>
        <v>G</v>
      </c>
      <c r="E1217" s="189" t="str">
        <f ca="1">IFERROR(__xludf.DUMMYFUNCTION("""COMPUTED_VALUE"""),"F")</f>
        <v>F</v>
      </c>
      <c r="F1217" s="189" t="str">
        <f ca="1">IFERROR(__xludf.DUMMYFUNCTION("""COMPUTED_VALUE"""),"J")</f>
        <v>J</v>
      </c>
      <c r="G1217" s="189">
        <f ca="1">IFERROR(__xludf.DUMMYFUNCTION("""COMPUTED_VALUE"""),1)</f>
        <v>1</v>
      </c>
      <c r="H1217" s="196"/>
      <c r="I1217" s="196"/>
      <c r="J1217" s="196"/>
      <c r="K1217" s="196"/>
      <c r="L1217" s="196" t="str">
        <v/>
      </c>
      <c r="M1217" s="196"/>
    </row>
    <row r="1218" spans="1:13" ht="14.4" x14ac:dyDescent="0.3">
      <c r="A1218" s="189" t="str">
        <f ca="1">IFERROR(__xludf.DUMMYFUNCTION("""COMPUTED_VALUE"""),"O")</f>
        <v>O</v>
      </c>
      <c r="B1218" s="195" t="str">
        <f ca="1">IFERROR(__xludf.DUMMYFUNCTION("""COMPUTED_VALUE"""),"Abigail Hoggins")</f>
        <v>Abigail Hoggins</v>
      </c>
      <c r="C1218" s="189">
        <f ca="1">IFERROR(__xludf.DUMMYFUNCTION("""COMPUTED_VALUE"""),8)</f>
        <v>8</v>
      </c>
      <c r="D1218" s="189" t="str">
        <f ca="1">IFERROR(__xludf.DUMMYFUNCTION("""COMPUTED_VALUE"""),"G")</f>
        <v>G</v>
      </c>
      <c r="E1218" s="189" t="str">
        <f ca="1">IFERROR(__xludf.DUMMYFUNCTION("""COMPUTED_VALUE"""),"F")</f>
        <v>F</v>
      </c>
      <c r="F1218" s="189" t="str">
        <f ca="1">IFERROR(__xludf.DUMMYFUNCTION("""COMPUTED_VALUE"""),"J")</f>
        <v>J</v>
      </c>
      <c r="G1218" s="189">
        <f ca="1">IFERROR(__xludf.DUMMYFUNCTION("""COMPUTED_VALUE"""),1)</f>
        <v>1</v>
      </c>
      <c r="H1218" s="196"/>
      <c r="I1218" s="196"/>
      <c r="J1218" s="196"/>
      <c r="K1218" s="196"/>
      <c r="L1218" s="196" t="str">
        <v/>
      </c>
      <c r="M1218" s="196"/>
    </row>
    <row r="1219" spans="1:13" ht="14.4" x14ac:dyDescent="0.3">
      <c r="A1219" s="189" t="str">
        <f ca="1">IFERROR(__xludf.DUMMYFUNCTION("""COMPUTED_VALUE"""),"O")</f>
        <v>O</v>
      </c>
      <c r="B1219" s="195" t="str">
        <f ca="1">IFERROR(__xludf.DUMMYFUNCTION("""COMPUTED_VALUE"""),"Addie Gaylor")</f>
        <v>Addie Gaylor</v>
      </c>
      <c r="C1219" s="189">
        <f ca="1">IFERROR(__xludf.DUMMYFUNCTION("""COMPUTED_VALUE"""),10)</f>
        <v>10</v>
      </c>
      <c r="D1219" s="189" t="str">
        <f ca="1">IFERROR(__xludf.DUMMYFUNCTION("""COMPUTED_VALUE"""),"G")</f>
        <v>G</v>
      </c>
      <c r="E1219" s="189" t="str">
        <f ca="1">IFERROR(__xludf.DUMMYFUNCTION("""COMPUTED_VALUE"""),"F")</f>
        <v>F</v>
      </c>
      <c r="F1219" s="189" t="str">
        <f ca="1">IFERROR(__xludf.DUMMYFUNCTION("""COMPUTED_VALUE"""),"J")</f>
        <v>J</v>
      </c>
      <c r="G1219" s="189">
        <f ca="1">IFERROR(__xludf.DUMMYFUNCTION("""COMPUTED_VALUE"""),1)</f>
        <v>1</v>
      </c>
      <c r="H1219" s="196" t="s">
        <v>474</v>
      </c>
      <c r="I1219" s="196"/>
      <c r="J1219" s="196" t="s">
        <v>29</v>
      </c>
      <c r="K1219" s="196"/>
      <c r="L1219" s="196" t="str">
        <v xml:space="preserve"> 62.50</v>
      </c>
      <c r="M1219" s="196"/>
    </row>
    <row r="1220" spans="1:13" ht="14.4" x14ac:dyDescent="0.3">
      <c r="A1220" s="189" t="str">
        <f ca="1">IFERROR(__xludf.DUMMYFUNCTION("""COMPUTED_VALUE"""),"O")</f>
        <v>O</v>
      </c>
      <c r="B1220" s="195" t="str">
        <f ca="1">IFERROR(__xludf.DUMMYFUNCTION("""COMPUTED_VALUE"""),"Audrey Mitchell")</f>
        <v>Audrey Mitchell</v>
      </c>
      <c r="C1220" s="189">
        <f ca="1">IFERROR(__xludf.DUMMYFUNCTION("""COMPUTED_VALUE"""),9)</f>
        <v>9</v>
      </c>
      <c r="D1220" s="189" t="str">
        <f ca="1">IFERROR(__xludf.DUMMYFUNCTION("""COMPUTED_VALUE"""),"G")</f>
        <v>G</v>
      </c>
      <c r="E1220" s="189" t="str">
        <f ca="1">IFERROR(__xludf.DUMMYFUNCTION("""COMPUTED_VALUE"""),"F")</f>
        <v>F</v>
      </c>
      <c r="F1220" s="189" t="str">
        <f ca="1">IFERROR(__xludf.DUMMYFUNCTION("""COMPUTED_VALUE"""),"J")</f>
        <v>J</v>
      </c>
      <c r="G1220" s="189">
        <f ca="1">IFERROR(__xludf.DUMMYFUNCTION("""COMPUTED_VALUE"""),1)</f>
        <v>1</v>
      </c>
      <c r="H1220" s="196" t="s">
        <v>203</v>
      </c>
      <c r="I1220" s="196"/>
      <c r="J1220" s="196" t="s">
        <v>29</v>
      </c>
      <c r="K1220" s="196"/>
      <c r="L1220" s="196" t="str">
        <v xml:space="preserve"> 53.50</v>
      </c>
      <c r="M1220" s="196"/>
    </row>
    <row r="1221" spans="1:13" ht="14.4" x14ac:dyDescent="0.3">
      <c r="A1221" s="189" t="str">
        <f ca="1">IFERROR(__xludf.DUMMYFUNCTION("""COMPUTED_VALUE"""),"O")</f>
        <v>O</v>
      </c>
      <c r="B1221" s="195" t="str">
        <f ca="1">IFERROR(__xludf.DUMMYFUNCTION("""COMPUTED_VALUE"""),"Brooke Nichols")</f>
        <v>Brooke Nichols</v>
      </c>
      <c r="C1221" s="189">
        <f ca="1">IFERROR(__xludf.DUMMYFUNCTION("""COMPUTED_VALUE"""),9)</f>
        <v>9</v>
      </c>
      <c r="D1221" s="189" t="str">
        <f ca="1">IFERROR(__xludf.DUMMYFUNCTION("""COMPUTED_VALUE"""),"G")</f>
        <v>G</v>
      </c>
      <c r="E1221" s="189" t="str">
        <f ca="1">IFERROR(__xludf.DUMMYFUNCTION("""COMPUTED_VALUE"""),"F")</f>
        <v>F</v>
      </c>
      <c r="F1221" s="189" t="str">
        <f ca="1">IFERROR(__xludf.DUMMYFUNCTION("""COMPUTED_VALUE"""),"J")</f>
        <v>J</v>
      </c>
      <c r="G1221" s="189">
        <f ca="1">IFERROR(__xludf.DUMMYFUNCTION("""COMPUTED_VALUE"""),1)</f>
        <v>1</v>
      </c>
      <c r="H1221" s="196"/>
      <c r="I1221" s="196"/>
      <c r="J1221" s="196"/>
      <c r="K1221" s="196"/>
      <c r="L1221" s="196" t="str">
        <v/>
      </c>
      <c r="M1221" s="196"/>
    </row>
    <row r="1222" spans="1:13" ht="14.4" x14ac:dyDescent="0.3">
      <c r="A1222" s="189" t="str">
        <f ca="1">IFERROR(__xludf.DUMMYFUNCTION("""COMPUTED_VALUE"""),"O")</f>
        <v>O</v>
      </c>
      <c r="B1222" s="195" t="str">
        <f ca="1">IFERROR(__xludf.DUMMYFUNCTION("""COMPUTED_VALUE"""),"Charleigh Cravens")</f>
        <v>Charleigh Cravens</v>
      </c>
      <c r="C1222" s="189">
        <f ca="1">IFERROR(__xludf.DUMMYFUNCTION("""COMPUTED_VALUE"""),8)</f>
        <v>8</v>
      </c>
      <c r="D1222" s="189" t="str">
        <f ca="1">IFERROR(__xludf.DUMMYFUNCTION("""COMPUTED_VALUE"""),"G")</f>
        <v>G</v>
      </c>
      <c r="E1222" s="189" t="str">
        <f ca="1">IFERROR(__xludf.DUMMYFUNCTION("""COMPUTED_VALUE"""),"F")</f>
        <v>F</v>
      </c>
      <c r="F1222" s="189" t="str">
        <f ca="1">IFERROR(__xludf.DUMMYFUNCTION("""COMPUTED_VALUE"""),"J")</f>
        <v>J</v>
      </c>
      <c r="G1222" s="189">
        <f ca="1">IFERROR(__xludf.DUMMYFUNCTION("""COMPUTED_VALUE"""),1)</f>
        <v>1</v>
      </c>
      <c r="H1222" s="196"/>
      <c r="I1222" s="196"/>
      <c r="J1222" s="196"/>
      <c r="K1222" s="196"/>
      <c r="L1222" s="196" t="str">
        <v/>
      </c>
      <c r="M1222" s="196"/>
    </row>
    <row r="1223" spans="1:13" ht="14.4" x14ac:dyDescent="0.3">
      <c r="A1223" s="189" t="str">
        <f ca="1">IFERROR(__xludf.DUMMYFUNCTION("""COMPUTED_VALUE"""),"O")</f>
        <v>O</v>
      </c>
      <c r="B1223" s="195" t="str">
        <f ca="1">IFERROR(__xludf.DUMMYFUNCTION("""COMPUTED_VALUE"""),"Cori Gaylor")</f>
        <v>Cori Gaylor</v>
      </c>
      <c r="C1223" s="189">
        <f ca="1">IFERROR(__xludf.DUMMYFUNCTION("""COMPUTED_VALUE"""),8)</f>
        <v>8</v>
      </c>
      <c r="D1223" s="189" t="str">
        <f ca="1">IFERROR(__xludf.DUMMYFUNCTION("""COMPUTED_VALUE"""),"G")</f>
        <v>G</v>
      </c>
      <c r="E1223" s="189" t="str">
        <f ca="1">IFERROR(__xludf.DUMMYFUNCTION("""COMPUTED_VALUE"""),"F")</f>
        <v>F</v>
      </c>
      <c r="F1223" s="189" t="str">
        <f ca="1">IFERROR(__xludf.DUMMYFUNCTION("""COMPUTED_VALUE"""),"J")</f>
        <v>J</v>
      </c>
      <c r="G1223" s="189">
        <f ca="1">IFERROR(__xludf.DUMMYFUNCTION("""COMPUTED_VALUE"""),1)</f>
        <v>1</v>
      </c>
      <c r="H1223" s="196"/>
      <c r="I1223" s="196"/>
      <c r="J1223" s="196"/>
      <c r="K1223" s="196"/>
      <c r="L1223" s="196" t="str">
        <v/>
      </c>
      <c r="M1223" s="196"/>
    </row>
    <row r="1224" spans="1:13" ht="14.4" x14ac:dyDescent="0.3">
      <c r="A1224" s="189" t="str">
        <f ca="1">IFERROR(__xludf.DUMMYFUNCTION("""COMPUTED_VALUE"""),"O")</f>
        <v>O</v>
      </c>
      <c r="B1224" s="195" t="str">
        <f ca="1">IFERROR(__xludf.DUMMYFUNCTION("""COMPUTED_VALUE"""),"Eleanor Brown")</f>
        <v>Eleanor Brown</v>
      </c>
      <c r="C1224" s="189">
        <f ca="1">IFERROR(__xludf.DUMMYFUNCTION("""COMPUTED_VALUE"""),10)</f>
        <v>10</v>
      </c>
      <c r="D1224" s="189" t="str">
        <f ca="1">IFERROR(__xludf.DUMMYFUNCTION("""COMPUTED_VALUE"""),"G")</f>
        <v>G</v>
      </c>
      <c r="E1224" s="189" t="str">
        <f ca="1">IFERROR(__xludf.DUMMYFUNCTION("""COMPUTED_VALUE"""),"F")</f>
        <v>F</v>
      </c>
      <c r="F1224" s="189" t="str">
        <f ca="1">IFERROR(__xludf.DUMMYFUNCTION("""COMPUTED_VALUE"""),"J")</f>
        <v>J</v>
      </c>
      <c r="G1224" s="189">
        <f ca="1">IFERROR(__xludf.DUMMYFUNCTION("""COMPUTED_VALUE"""),1)</f>
        <v>1</v>
      </c>
      <c r="H1224" s="196" t="s">
        <v>96</v>
      </c>
      <c r="I1224" s="196"/>
      <c r="J1224" s="196" t="s">
        <v>29</v>
      </c>
      <c r="K1224" s="196"/>
      <c r="L1224" s="196" t="str">
        <v xml:space="preserve"> 57.95</v>
      </c>
      <c r="M1224" s="196"/>
    </row>
    <row r="1225" spans="1:13" ht="14.4" x14ac:dyDescent="0.3">
      <c r="A1225" s="189" t="str">
        <f ca="1">IFERROR(__xludf.DUMMYFUNCTION("""COMPUTED_VALUE"""),"O")</f>
        <v>O</v>
      </c>
      <c r="B1225" s="195" t="str">
        <f ca="1">IFERROR(__xludf.DUMMYFUNCTION("""COMPUTED_VALUE"""),"Ella Hudes")</f>
        <v>Ella Hudes</v>
      </c>
      <c r="C1225" s="189">
        <f ca="1">IFERROR(__xludf.DUMMYFUNCTION("""COMPUTED_VALUE"""),10)</f>
        <v>10</v>
      </c>
      <c r="D1225" s="189" t="str">
        <f ca="1">IFERROR(__xludf.DUMMYFUNCTION("""COMPUTED_VALUE"""),"G")</f>
        <v>G</v>
      </c>
      <c r="E1225" s="189" t="str">
        <f ca="1">IFERROR(__xludf.DUMMYFUNCTION("""COMPUTED_VALUE"""),"F")</f>
        <v>F</v>
      </c>
      <c r="F1225" s="189" t="str">
        <f ca="1">IFERROR(__xludf.DUMMYFUNCTION("""COMPUTED_VALUE"""),"J")</f>
        <v>J</v>
      </c>
      <c r="G1225" s="189">
        <f ca="1">IFERROR(__xludf.DUMMYFUNCTION("""COMPUTED_VALUE"""),1)</f>
        <v>1</v>
      </c>
      <c r="H1225" s="196"/>
      <c r="I1225" s="196"/>
      <c r="J1225" s="196"/>
      <c r="K1225" s="196"/>
      <c r="L1225" s="196" t="str">
        <v/>
      </c>
      <c r="M1225" s="196"/>
    </row>
    <row r="1226" spans="1:13" ht="14.4" x14ac:dyDescent="0.3">
      <c r="A1226" s="189" t="str">
        <f ca="1">IFERROR(__xludf.DUMMYFUNCTION("""COMPUTED_VALUE"""),"O")</f>
        <v>O</v>
      </c>
      <c r="B1226" s="195" t="str">
        <f ca="1">IFERROR(__xludf.DUMMYFUNCTION("""COMPUTED_VALUE"""),"Erin Lee")</f>
        <v>Erin Lee</v>
      </c>
      <c r="C1226" s="189">
        <f ca="1">IFERROR(__xludf.DUMMYFUNCTION("""COMPUTED_VALUE"""),10)</f>
        <v>10</v>
      </c>
      <c r="D1226" s="189" t="str">
        <f ca="1">IFERROR(__xludf.DUMMYFUNCTION("""COMPUTED_VALUE"""),"G")</f>
        <v>G</v>
      </c>
      <c r="E1226" s="189" t="str">
        <f ca="1">IFERROR(__xludf.DUMMYFUNCTION("""COMPUTED_VALUE"""),"F")</f>
        <v>F</v>
      </c>
      <c r="F1226" s="189" t="str">
        <f ca="1">IFERROR(__xludf.DUMMYFUNCTION("""COMPUTED_VALUE"""),"J")</f>
        <v>J</v>
      </c>
      <c r="G1226" s="189">
        <f ca="1">IFERROR(__xludf.DUMMYFUNCTION("""COMPUTED_VALUE"""),1)</f>
        <v>1</v>
      </c>
      <c r="H1226" s="196" t="s">
        <v>519</v>
      </c>
      <c r="I1226" s="196"/>
      <c r="J1226" s="196" t="s">
        <v>29</v>
      </c>
      <c r="K1226" s="196"/>
      <c r="L1226" s="196" t="str">
        <v xml:space="preserve"> 56.90</v>
      </c>
      <c r="M1226" s="196"/>
    </row>
    <row r="1227" spans="1:13" ht="14.4" x14ac:dyDescent="0.3">
      <c r="A1227" s="189" t="str">
        <f ca="1">IFERROR(__xludf.DUMMYFUNCTION("""COMPUTED_VALUE"""),"O")</f>
        <v>O</v>
      </c>
      <c r="B1227" s="195" t="str">
        <f ca="1">IFERROR(__xludf.DUMMYFUNCTION("""COMPUTED_VALUE"""),"Hannah Williams")</f>
        <v>Hannah Williams</v>
      </c>
      <c r="C1227" s="189">
        <f ca="1">IFERROR(__xludf.DUMMYFUNCTION("""COMPUTED_VALUE"""),9)</f>
        <v>9</v>
      </c>
      <c r="D1227" s="189" t="str">
        <f ca="1">IFERROR(__xludf.DUMMYFUNCTION("""COMPUTED_VALUE"""),"G")</f>
        <v>G</v>
      </c>
      <c r="E1227" s="189" t="str">
        <f ca="1">IFERROR(__xludf.DUMMYFUNCTION("""COMPUTED_VALUE"""),"F")</f>
        <v>F</v>
      </c>
      <c r="F1227" s="189" t="str">
        <f ca="1">IFERROR(__xludf.DUMMYFUNCTION("""COMPUTED_VALUE"""),"J")</f>
        <v>J</v>
      </c>
      <c r="G1227" s="189">
        <f ca="1">IFERROR(__xludf.DUMMYFUNCTION("""COMPUTED_VALUE"""),1)</f>
        <v>1</v>
      </c>
      <c r="H1227" s="196"/>
      <c r="I1227" s="196"/>
      <c r="J1227" s="196"/>
      <c r="K1227" s="196"/>
      <c r="L1227" s="196" t="str">
        <v/>
      </c>
      <c r="M1227" s="196"/>
    </row>
    <row r="1228" spans="1:13" ht="14.4" x14ac:dyDescent="0.3">
      <c r="A1228" s="189" t="str">
        <f ca="1">IFERROR(__xludf.DUMMYFUNCTION("""COMPUTED_VALUE"""),"O")</f>
        <v>O</v>
      </c>
      <c r="B1228" s="195" t="str">
        <f ca="1">IFERROR(__xludf.DUMMYFUNCTION("""COMPUTED_VALUE"""),"Josie Miller")</f>
        <v>Josie Miller</v>
      </c>
      <c r="C1228" s="189">
        <f ca="1">IFERROR(__xludf.DUMMYFUNCTION("""COMPUTED_VALUE"""),10)</f>
        <v>10</v>
      </c>
      <c r="D1228" s="189" t="str">
        <f ca="1">IFERROR(__xludf.DUMMYFUNCTION("""COMPUTED_VALUE"""),"G")</f>
        <v>G</v>
      </c>
      <c r="E1228" s="189" t="str">
        <f ca="1">IFERROR(__xludf.DUMMYFUNCTION("""COMPUTED_VALUE"""),"F")</f>
        <v>F</v>
      </c>
      <c r="F1228" s="189" t="str">
        <f ca="1">IFERROR(__xludf.DUMMYFUNCTION("""COMPUTED_VALUE"""),"J")</f>
        <v>J</v>
      </c>
      <c r="G1228" s="189">
        <f ca="1">IFERROR(__xludf.DUMMYFUNCTION("""COMPUTED_VALUE"""),1)</f>
        <v>1</v>
      </c>
      <c r="H1228" s="196"/>
      <c r="I1228" s="196"/>
      <c r="J1228" s="196"/>
      <c r="K1228" s="196"/>
      <c r="L1228" s="196" t="str">
        <v/>
      </c>
      <c r="M1228" s="196"/>
    </row>
    <row r="1229" spans="1:13" ht="14.4" x14ac:dyDescent="0.3">
      <c r="A1229" s="189" t="str">
        <f ca="1">IFERROR(__xludf.DUMMYFUNCTION("""COMPUTED_VALUE"""),"O")</f>
        <v>O</v>
      </c>
      <c r="B1229" s="195" t="str">
        <f ca="1">IFERROR(__xludf.DUMMYFUNCTION("""COMPUTED_VALUE"""),"Kaitlyn Kimmitt")</f>
        <v>Kaitlyn Kimmitt</v>
      </c>
      <c r="C1229" s="189">
        <f ca="1">IFERROR(__xludf.DUMMYFUNCTION("""COMPUTED_VALUE"""),9)</f>
        <v>9</v>
      </c>
      <c r="D1229" s="189" t="str">
        <f ca="1">IFERROR(__xludf.DUMMYFUNCTION("""COMPUTED_VALUE"""),"G")</f>
        <v>G</v>
      </c>
      <c r="E1229" s="189" t="str">
        <f ca="1">IFERROR(__xludf.DUMMYFUNCTION("""COMPUTED_VALUE"""),"F")</f>
        <v>F</v>
      </c>
      <c r="F1229" s="189" t="str">
        <f ca="1">IFERROR(__xludf.DUMMYFUNCTION("""COMPUTED_VALUE"""),"J")</f>
        <v>J</v>
      </c>
      <c r="G1229" s="189">
        <f ca="1">IFERROR(__xludf.DUMMYFUNCTION("""COMPUTED_VALUE"""),1)</f>
        <v>1</v>
      </c>
      <c r="H1229" s="196" t="s">
        <v>520</v>
      </c>
      <c r="I1229" s="196"/>
      <c r="J1229" s="196" t="s">
        <v>29</v>
      </c>
      <c r="K1229" s="196"/>
      <c r="L1229" s="196" t="str">
        <v xml:space="preserve"> 70.30</v>
      </c>
      <c r="M1229" s="196"/>
    </row>
    <row r="1230" spans="1:13" ht="14.4" x14ac:dyDescent="0.3">
      <c r="A1230" s="189" t="str">
        <f ca="1">IFERROR(__xludf.DUMMYFUNCTION("""COMPUTED_VALUE"""),"O")</f>
        <v>O</v>
      </c>
      <c r="B1230" s="195" t="str">
        <f ca="1">IFERROR(__xludf.DUMMYFUNCTION("""COMPUTED_VALUE"""),"Liliana Cappoli")</f>
        <v>Liliana Cappoli</v>
      </c>
      <c r="C1230" s="189">
        <f ca="1">IFERROR(__xludf.DUMMYFUNCTION("""COMPUTED_VALUE"""),10)</f>
        <v>10</v>
      </c>
      <c r="D1230" s="189" t="str">
        <f ca="1">IFERROR(__xludf.DUMMYFUNCTION("""COMPUTED_VALUE"""),"G")</f>
        <v>G</v>
      </c>
      <c r="E1230" s="189" t="str">
        <f ca="1">IFERROR(__xludf.DUMMYFUNCTION("""COMPUTED_VALUE"""),"F")</f>
        <v>F</v>
      </c>
      <c r="F1230" s="189" t="str">
        <f ca="1">IFERROR(__xludf.DUMMYFUNCTION("""COMPUTED_VALUE"""),"J")</f>
        <v>J</v>
      </c>
      <c r="G1230" s="189">
        <f ca="1">IFERROR(__xludf.DUMMYFUNCTION("""COMPUTED_VALUE"""),1)</f>
        <v>1</v>
      </c>
      <c r="H1230" s="196" t="s">
        <v>521</v>
      </c>
      <c r="I1230" s="196"/>
      <c r="J1230" s="196" t="s">
        <v>29</v>
      </c>
      <c r="K1230" s="196"/>
      <c r="L1230" s="196" t="str">
        <v xml:space="preserve"> 70.45</v>
      </c>
      <c r="M1230" s="196"/>
    </row>
    <row r="1231" spans="1:13" ht="14.4" x14ac:dyDescent="0.3">
      <c r="A1231" s="189" t="str">
        <f ca="1">IFERROR(__xludf.DUMMYFUNCTION("""COMPUTED_VALUE"""),"O")</f>
        <v>O</v>
      </c>
      <c r="B1231" s="195" t="str">
        <f ca="1">IFERROR(__xludf.DUMMYFUNCTION("""COMPUTED_VALUE"""),"Lina Arenstein")</f>
        <v>Lina Arenstein</v>
      </c>
      <c r="C1231" s="189">
        <f ca="1">IFERROR(__xludf.DUMMYFUNCTION("""COMPUTED_VALUE"""),7)</f>
        <v>7</v>
      </c>
      <c r="D1231" s="189" t="str">
        <f ca="1">IFERROR(__xludf.DUMMYFUNCTION("""COMPUTED_VALUE"""),"G")</f>
        <v>G</v>
      </c>
      <c r="E1231" s="189" t="str">
        <f ca="1">IFERROR(__xludf.DUMMYFUNCTION("""COMPUTED_VALUE"""),"F")</f>
        <v>F</v>
      </c>
      <c r="F1231" s="189" t="str">
        <f ca="1">IFERROR(__xludf.DUMMYFUNCTION("""COMPUTED_VALUE"""),"J")</f>
        <v>J</v>
      </c>
      <c r="G1231" s="189">
        <f ca="1">IFERROR(__xludf.DUMMYFUNCTION("""COMPUTED_VALUE"""),1)</f>
        <v>1</v>
      </c>
      <c r="H1231" s="196"/>
      <c r="I1231" s="196"/>
      <c r="J1231" s="196"/>
      <c r="K1231" s="196"/>
      <c r="L1231" s="196" t="str">
        <v/>
      </c>
      <c r="M1231" s="196"/>
    </row>
    <row r="1232" spans="1:13" ht="14.4" x14ac:dyDescent="0.3">
      <c r="A1232" s="189" t="str">
        <f ca="1">IFERROR(__xludf.DUMMYFUNCTION("""COMPUTED_VALUE"""),"O")</f>
        <v>O</v>
      </c>
      <c r="B1232" s="195" t="str">
        <f ca="1">IFERROR(__xludf.DUMMYFUNCTION("""COMPUTED_VALUE"""),"Maddie Bloss")</f>
        <v>Maddie Bloss</v>
      </c>
      <c r="C1232" s="189">
        <f ca="1">IFERROR(__xludf.DUMMYFUNCTION("""COMPUTED_VALUE"""),9)</f>
        <v>9</v>
      </c>
      <c r="D1232" s="189" t="str">
        <f ca="1">IFERROR(__xludf.DUMMYFUNCTION("""COMPUTED_VALUE"""),"G")</f>
        <v>G</v>
      </c>
      <c r="E1232" s="189" t="str">
        <f ca="1">IFERROR(__xludf.DUMMYFUNCTION("""COMPUTED_VALUE"""),"F")</f>
        <v>F</v>
      </c>
      <c r="F1232" s="189" t="str">
        <f ca="1">IFERROR(__xludf.DUMMYFUNCTION("""COMPUTED_VALUE"""),"J")</f>
        <v>J</v>
      </c>
      <c r="G1232" s="189">
        <f ca="1">IFERROR(__xludf.DUMMYFUNCTION("""COMPUTED_VALUE"""),1)</f>
        <v>1</v>
      </c>
      <c r="H1232" s="196"/>
      <c r="I1232" s="196"/>
      <c r="J1232" s="196"/>
      <c r="K1232" s="196"/>
      <c r="L1232" s="196" t="str">
        <v/>
      </c>
      <c r="M1232" s="196"/>
    </row>
    <row r="1233" spans="1:13" ht="14.4" x14ac:dyDescent="0.3">
      <c r="A1233" s="189" t="str">
        <f ca="1">IFERROR(__xludf.DUMMYFUNCTION("""COMPUTED_VALUE"""),"O")</f>
        <v>O</v>
      </c>
      <c r="B1233" s="195" t="str">
        <f ca="1">IFERROR(__xludf.DUMMYFUNCTION("""COMPUTED_VALUE"""),"McKenna Dicke")</f>
        <v>McKenna Dicke</v>
      </c>
      <c r="C1233" s="189">
        <f ca="1">IFERROR(__xludf.DUMMYFUNCTION("""COMPUTED_VALUE"""),10)</f>
        <v>10</v>
      </c>
      <c r="D1233" s="189" t="str">
        <f ca="1">IFERROR(__xludf.DUMMYFUNCTION("""COMPUTED_VALUE"""),"G")</f>
        <v>G</v>
      </c>
      <c r="E1233" s="189" t="str">
        <f ca="1">IFERROR(__xludf.DUMMYFUNCTION("""COMPUTED_VALUE"""),"F")</f>
        <v>F</v>
      </c>
      <c r="F1233" s="189" t="str">
        <f ca="1">IFERROR(__xludf.DUMMYFUNCTION("""COMPUTED_VALUE"""),"J")</f>
        <v>J</v>
      </c>
      <c r="G1233" s="189">
        <f ca="1">IFERROR(__xludf.DUMMYFUNCTION("""COMPUTED_VALUE"""),1)</f>
        <v>1</v>
      </c>
      <c r="H1233" s="196"/>
      <c r="I1233" s="196"/>
      <c r="J1233" s="196"/>
      <c r="K1233" s="196"/>
      <c r="L1233" s="196" t="str">
        <v/>
      </c>
      <c r="M1233" s="196"/>
    </row>
    <row r="1234" spans="1:13" ht="14.4" x14ac:dyDescent="0.3">
      <c r="A1234" s="189" t="str">
        <f ca="1">IFERROR(__xludf.DUMMYFUNCTION("""COMPUTED_VALUE"""),"O")</f>
        <v>O</v>
      </c>
      <c r="B1234" s="195" t="str">
        <f ca="1">IFERROR(__xludf.DUMMYFUNCTION("""COMPUTED_VALUE"""),"Nora Hopkins")</f>
        <v>Nora Hopkins</v>
      </c>
      <c r="C1234" s="189">
        <f ca="1">IFERROR(__xludf.DUMMYFUNCTION("""COMPUTED_VALUE"""),8)</f>
        <v>8</v>
      </c>
      <c r="D1234" s="189" t="str">
        <f ca="1">IFERROR(__xludf.DUMMYFUNCTION("""COMPUTED_VALUE"""),"G")</f>
        <v>G</v>
      </c>
      <c r="E1234" s="189" t="str">
        <f ca="1">IFERROR(__xludf.DUMMYFUNCTION("""COMPUTED_VALUE"""),"F")</f>
        <v>F</v>
      </c>
      <c r="F1234" s="189" t="str">
        <f ca="1">IFERROR(__xludf.DUMMYFUNCTION("""COMPUTED_VALUE"""),"J")</f>
        <v>J</v>
      </c>
      <c r="G1234" s="189">
        <f ca="1">IFERROR(__xludf.DUMMYFUNCTION("""COMPUTED_VALUE"""),1)</f>
        <v>1</v>
      </c>
      <c r="H1234" s="196"/>
      <c r="I1234" s="196"/>
      <c r="J1234" s="196"/>
      <c r="K1234" s="196"/>
      <c r="L1234" s="196" t="str">
        <v/>
      </c>
      <c r="M1234" s="196"/>
    </row>
    <row r="1235" spans="1:13" ht="14.4" x14ac:dyDescent="0.3">
      <c r="A1235" s="189" t="str">
        <f ca="1">IFERROR(__xludf.DUMMYFUNCTION("""COMPUTED_VALUE"""),"O")</f>
        <v>O</v>
      </c>
      <c r="B1235" s="195" t="str">
        <f ca="1">IFERROR(__xludf.DUMMYFUNCTION("""COMPUTED_VALUE"""),"Parker Domnitch")</f>
        <v>Parker Domnitch</v>
      </c>
      <c r="C1235" s="189">
        <f ca="1">IFERROR(__xludf.DUMMYFUNCTION("""COMPUTED_VALUE"""),8)</f>
        <v>8</v>
      </c>
      <c r="D1235" s="189" t="str">
        <f ca="1">IFERROR(__xludf.DUMMYFUNCTION("""COMPUTED_VALUE"""),"G")</f>
        <v>G</v>
      </c>
      <c r="E1235" s="189" t="str">
        <f ca="1">IFERROR(__xludf.DUMMYFUNCTION("""COMPUTED_VALUE"""),"F")</f>
        <v>F</v>
      </c>
      <c r="F1235" s="189" t="str">
        <f ca="1">IFERROR(__xludf.DUMMYFUNCTION("""COMPUTED_VALUE"""),"J")</f>
        <v>J</v>
      </c>
      <c r="G1235" s="189">
        <f ca="1">IFERROR(__xludf.DUMMYFUNCTION("""COMPUTED_VALUE"""),1)</f>
        <v>1</v>
      </c>
      <c r="H1235" s="196"/>
      <c r="I1235" s="196"/>
      <c r="J1235" s="196"/>
      <c r="K1235" s="196"/>
      <c r="L1235" s="196" t="str">
        <v/>
      </c>
      <c r="M1235" s="196"/>
    </row>
    <row r="1236" spans="1:13" ht="14.4" x14ac:dyDescent="0.3">
      <c r="A1236" s="189" t="str">
        <f ca="1">IFERROR(__xludf.DUMMYFUNCTION("""COMPUTED_VALUE"""),"O")</f>
        <v>O</v>
      </c>
      <c r="B1236" s="195" t="str">
        <f ca="1">IFERROR(__xludf.DUMMYFUNCTION("""COMPUTED_VALUE"""),"Perrin Malko")</f>
        <v>Perrin Malko</v>
      </c>
      <c r="C1236" s="189">
        <f ca="1">IFERROR(__xludf.DUMMYFUNCTION("""COMPUTED_VALUE"""),10)</f>
        <v>10</v>
      </c>
      <c r="D1236" s="189" t="str">
        <f ca="1">IFERROR(__xludf.DUMMYFUNCTION("""COMPUTED_VALUE"""),"G")</f>
        <v>G</v>
      </c>
      <c r="E1236" s="189" t="str">
        <f ca="1">IFERROR(__xludf.DUMMYFUNCTION("""COMPUTED_VALUE"""),"F")</f>
        <v>F</v>
      </c>
      <c r="F1236" s="189" t="str">
        <f ca="1">IFERROR(__xludf.DUMMYFUNCTION("""COMPUTED_VALUE"""),"J")</f>
        <v>J</v>
      </c>
      <c r="G1236" s="189">
        <f ca="1">IFERROR(__xludf.DUMMYFUNCTION("""COMPUTED_VALUE"""),1)</f>
        <v>1</v>
      </c>
      <c r="H1236" s="196" t="s">
        <v>204</v>
      </c>
      <c r="I1236" s="196"/>
      <c r="J1236" s="196" t="s">
        <v>29</v>
      </c>
      <c r="K1236" s="196"/>
      <c r="L1236" s="196" t="str">
        <v xml:space="preserve"> 53.90</v>
      </c>
      <c r="M1236" s="196"/>
    </row>
    <row r="1237" spans="1:13" ht="14.4" x14ac:dyDescent="0.3">
      <c r="A1237" s="189" t="str">
        <f ca="1">IFERROR(__xludf.DUMMYFUNCTION("""COMPUTED_VALUE"""),"O")</f>
        <v>O</v>
      </c>
      <c r="B1237" s="195" t="str">
        <f ca="1">IFERROR(__xludf.DUMMYFUNCTION("""COMPUTED_VALUE"""),"Tinsley Arenstein")</f>
        <v>Tinsley Arenstein</v>
      </c>
      <c r="C1237" s="189">
        <f ca="1">IFERROR(__xludf.DUMMYFUNCTION("""COMPUTED_VALUE"""),10)</f>
        <v>10</v>
      </c>
      <c r="D1237" s="189" t="str">
        <f ca="1">IFERROR(__xludf.DUMMYFUNCTION("""COMPUTED_VALUE"""),"G")</f>
        <v>G</v>
      </c>
      <c r="E1237" s="189" t="str">
        <f ca="1">IFERROR(__xludf.DUMMYFUNCTION("""COMPUTED_VALUE"""),"F")</f>
        <v>F</v>
      </c>
      <c r="F1237" s="189" t="str">
        <f ca="1">IFERROR(__xludf.DUMMYFUNCTION("""COMPUTED_VALUE"""),"J")</f>
        <v>J</v>
      </c>
      <c r="G1237" s="189">
        <f ca="1">IFERROR(__xludf.DUMMYFUNCTION("""COMPUTED_VALUE"""),1)</f>
        <v>1</v>
      </c>
      <c r="H1237" s="196"/>
      <c r="I1237" s="196"/>
      <c r="J1237" s="196"/>
      <c r="K1237" s="196"/>
      <c r="L1237" s="196" t="str">
        <v/>
      </c>
      <c r="M1237" s="196"/>
    </row>
    <row r="1238" spans="1:13" ht="14.4" x14ac:dyDescent="0.3">
      <c r="A1238" s="189" t="str">
        <f ca="1">IFERROR(__xludf.DUMMYFUNCTION("""COMPUTED_VALUE"""),"O")</f>
        <v>O</v>
      </c>
      <c r="B1238" s="195" t="str">
        <f ca="1">IFERROR(__xludf.DUMMYFUNCTION("""COMPUTED_VALUE"""),"Alexander Hudes")</f>
        <v>Alexander Hudes</v>
      </c>
      <c r="C1238" s="189">
        <f ca="1">IFERROR(__xludf.DUMMYFUNCTION("""COMPUTED_VALUE"""),7)</f>
        <v>7</v>
      </c>
      <c r="D1238" s="189" t="str">
        <f ca="1">IFERROR(__xludf.DUMMYFUNCTION("""COMPUTED_VALUE"""),"B")</f>
        <v>B</v>
      </c>
      <c r="E1238" s="189" t="str">
        <f ca="1">IFERROR(__xludf.DUMMYFUNCTION("""COMPUTED_VALUE"""),"F")</f>
        <v>F</v>
      </c>
      <c r="F1238" s="189" t="str">
        <f ca="1">IFERROR(__xludf.DUMMYFUNCTION("""COMPUTED_VALUE"""),"J")</f>
        <v>J</v>
      </c>
      <c r="G1238" s="189">
        <f ca="1">IFERROR(__xludf.DUMMYFUNCTION("""COMPUTED_VALUE"""),1)</f>
        <v>1</v>
      </c>
      <c r="H1238" s="196"/>
      <c r="I1238" s="196"/>
      <c r="J1238" s="196"/>
      <c r="K1238" s="196"/>
      <c r="L1238" s="196" t="str">
        <v/>
      </c>
      <c r="M1238" s="196"/>
    </row>
    <row r="1239" spans="1:13" ht="14.4" x14ac:dyDescent="0.3">
      <c r="A1239" s="189" t="str">
        <f ca="1">IFERROR(__xludf.DUMMYFUNCTION("""COMPUTED_VALUE"""),"O")</f>
        <v>O</v>
      </c>
      <c r="B1239" s="195" t="str">
        <f ca="1">IFERROR(__xludf.DUMMYFUNCTION("""COMPUTED_VALUE"""),"Ashton Akers")</f>
        <v>Ashton Akers</v>
      </c>
      <c r="C1239" s="189">
        <f ca="1">IFERROR(__xludf.DUMMYFUNCTION("""COMPUTED_VALUE"""),9)</f>
        <v>9</v>
      </c>
      <c r="D1239" s="189" t="str">
        <f ca="1">IFERROR(__xludf.DUMMYFUNCTION("""COMPUTED_VALUE"""),"B")</f>
        <v>B</v>
      </c>
      <c r="E1239" s="189" t="str">
        <f ca="1">IFERROR(__xludf.DUMMYFUNCTION("""COMPUTED_VALUE"""),"F")</f>
        <v>F</v>
      </c>
      <c r="F1239" s="189" t="str">
        <f ca="1">IFERROR(__xludf.DUMMYFUNCTION("""COMPUTED_VALUE"""),"J")</f>
        <v>J</v>
      </c>
      <c r="G1239" s="189">
        <f ca="1">IFERROR(__xludf.DUMMYFUNCTION("""COMPUTED_VALUE"""),1)</f>
        <v>1</v>
      </c>
      <c r="H1239" s="196"/>
      <c r="I1239" s="196"/>
      <c r="J1239" s="196"/>
      <c r="K1239" s="196"/>
      <c r="L1239" s="196" t="str">
        <v/>
      </c>
      <c r="M1239" s="196"/>
    </row>
    <row r="1240" spans="1:13" ht="14.4" x14ac:dyDescent="0.3">
      <c r="A1240" s="189" t="str">
        <f ca="1">IFERROR(__xludf.DUMMYFUNCTION("""COMPUTED_VALUE"""),"O")</f>
        <v>O</v>
      </c>
      <c r="B1240" s="195" t="str">
        <f ca="1">IFERROR(__xludf.DUMMYFUNCTION("""COMPUTED_VALUE"""),"Connor Friedman")</f>
        <v>Connor Friedman</v>
      </c>
      <c r="C1240" s="189">
        <f ca="1">IFERROR(__xludf.DUMMYFUNCTION("""COMPUTED_VALUE"""),9)</f>
        <v>9</v>
      </c>
      <c r="D1240" s="189" t="str">
        <f ca="1">IFERROR(__xludf.DUMMYFUNCTION("""COMPUTED_VALUE"""),"B")</f>
        <v>B</v>
      </c>
      <c r="E1240" s="189" t="str">
        <f ca="1">IFERROR(__xludf.DUMMYFUNCTION("""COMPUTED_VALUE"""),"F")</f>
        <v>F</v>
      </c>
      <c r="F1240" s="189" t="str">
        <f ca="1">IFERROR(__xludf.DUMMYFUNCTION("""COMPUTED_VALUE"""),"J")</f>
        <v>J</v>
      </c>
      <c r="G1240" s="189">
        <f ca="1">IFERROR(__xludf.DUMMYFUNCTION("""COMPUTED_VALUE"""),1)</f>
        <v>1</v>
      </c>
      <c r="H1240" s="196"/>
      <c r="I1240" s="196"/>
      <c r="J1240" s="196"/>
      <c r="K1240" s="196"/>
      <c r="L1240" s="196" t="str">
        <v/>
      </c>
      <c r="M1240" s="196"/>
    </row>
    <row r="1241" spans="1:13" ht="14.4" x14ac:dyDescent="0.3">
      <c r="A1241" s="189" t="str">
        <f ca="1">IFERROR(__xludf.DUMMYFUNCTION("""COMPUTED_VALUE"""),"O")</f>
        <v>O</v>
      </c>
      <c r="B1241" s="195" t="str">
        <f ca="1">IFERROR(__xludf.DUMMYFUNCTION("""COMPUTED_VALUE"""),"George Broido")</f>
        <v>George Broido</v>
      </c>
      <c r="C1241" s="189">
        <f ca="1">IFERROR(__xludf.DUMMYFUNCTION("""COMPUTED_VALUE"""),9)</f>
        <v>9</v>
      </c>
      <c r="D1241" s="189" t="str">
        <f ca="1">IFERROR(__xludf.DUMMYFUNCTION("""COMPUTED_VALUE"""),"B")</f>
        <v>B</v>
      </c>
      <c r="E1241" s="189" t="str">
        <f ca="1">IFERROR(__xludf.DUMMYFUNCTION("""COMPUTED_VALUE"""),"F")</f>
        <v>F</v>
      </c>
      <c r="F1241" s="189" t="str">
        <f ca="1">IFERROR(__xludf.DUMMYFUNCTION("""COMPUTED_VALUE"""),"J")</f>
        <v>J</v>
      </c>
      <c r="G1241" s="189">
        <f ca="1">IFERROR(__xludf.DUMMYFUNCTION("""COMPUTED_VALUE"""),1)</f>
        <v>1</v>
      </c>
      <c r="H1241" s="196"/>
      <c r="I1241" s="196"/>
      <c r="J1241" s="196"/>
      <c r="K1241" s="196"/>
      <c r="L1241" s="196" t="str">
        <v/>
      </c>
      <c r="M1241" s="196"/>
    </row>
    <row r="1242" spans="1:13" ht="14.4" x14ac:dyDescent="0.3">
      <c r="A1242" s="189" t="str">
        <f ca="1">IFERROR(__xludf.DUMMYFUNCTION("""COMPUTED_VALUE"""),"O")</f>
        <v>O</v>
      </c>
      <c r="B1242" s="195" t="str">
        <f ca="1">IFERROR(__xludf.DUMMYFUNCTION("""COMPUTED_VALUE"""),"Grayson Garcia")</f>
        <v>Grayson Garcia</v>
      </c>
      <c r="C1242" s="189">
        <f ca="1">IFERROR(__xludf.DUMMYFUNCTION("""COMPUTED_VALUE"""),9)</f>
        <v>9</v>
      </c>
      <c r="D1242" s="189" t="str">
        <f ca="1">IFERROR(__xludf.DUMMYFUNCTION("""COMPUTED_VALUE"""),"B")</f>
        <v>B</v>
      </c>
      <c r="E1242" s="189" t="str">
        <f ca="1">IFERROR(__xludf.DUMMYFUNCTION("""COMPUTED_VALUE"""),"F")</f>
        <v>F</v>
      </c>
      <c r="F1242" s="189" t="str">
        <f ca="1">IFERROR(__xludf.DUMMYFUNCTION("""COMPUTED_VALUE"""),"J")</f>
        <v>J</v>
      </c>
      <c r="G1242" s="189">
        <f ca="1">IFERROR(__xludf.DUMMYFUNCTION("""COMPUTED_VALUE"""),1)</f>
        <v>1</v>
      </c>
      <c r="H1242" s="196"/>
      <c r="I1242" s="196"/>
      <c r="J1242" s="196"/>
      <c r="K1242" s="196"/>
      <c r="L1242" s="196" t="str">
        <v/>
      </c>
      <c r="M1242" s="196"/>
    </row>
    <row r="1243" spans="1:13" ht="14.4" x14ac:dyDescent="0.3">
      <c r="A1243" s="189" t="str">
        <f ca="1">IFERROR(__xludf.DUMMYFUNCTION("""COMPUTED_VALUE"""),"O")</f>
        <v>O</v>
      </c>
      <c r="B1243" s="195" t="str">
        <f ca="1">IFERROR(__xludf.DUMMYFUNCTION("""COMPUTED_VALUE"""),"Henry Pyser")</f>
        <v>Henry Pyser</v>
      </c>
      <c r="C1243" s="189">
        <f ca="1">IFERROR(__xludf.DUMMYFUNCTION("""COMPUTED_VALUE"""),7)</f>
        <v>7</v>
      </c>
      <c r="D1243" s="189" t="str">
        <f ca="1">IFERROR(__xludf.DUMMYFUNCTION("""COMPUTED_VALUE"""),"B")</f>
        <v>B</v>
      </c>
      <c r="E1243" s="189" t="str">
        <f ca="1">IFERROR(__xludf.DUMMYFUNCTION("""COMPUTED_VALUE"""),"F")</f>
        <v>F</v>
      </c>
      <c r="F1243" s="189" t="str">
        <f ca="1">IFERROR(__xludf.DUMMYFUNCTION("""COMPUTED_VALUE"""),"J")</f>
        <v>J</v>
      </c>
      <c r="G1243" s="189">
        <f ca="1">IFERROR(__xludf.DUMMYFUNCTION("""COMPUTED_VALUE"""),1)</f>
        <v>1</v>
      </c>
      <c r="H1243" s="196"/>
      <c r="I1243" s="196"/>
      <c r="J1243" s="196"/>
      <c r="K1243" s="196"/>
      <c r="L1243" s="196" t="str">
        <v/>
      </c>
      <c r="M1243" s="196"/>
    </row>
    <row r="1244" spans="1:13" ht="14.4" x14ac:dyDescent="0.3">
      <c r="A1244" s="189" t="str">
        <f ca="1">IFERROR(__xludf.DUMMYFUNCTION("""COMPUTED_VALUE"""),"O")</f>
        <v>O</v>
      </c>
      <c r="B1244" s="195" t="str">
        <f ca="1">IFERROR(__xludf.DUMMYFUNCTION("""COMPUTED_VALUE"""),"Jacob Arenstein")</f>
        <v>Jacob Arenstein</v>
      </c>
      <c r="C1244" s="189">
        <f ca="1">IFERROR(__xludf.DUMMYFUNCTION("""COMPUTED_VALUE"""),8)</f>
        <v>8</v>
      </c>
      <c r="D1244" s="189" t="str">
        <f ca="1">IFERROR(__xludf.DUMMYFUNCTION("""COMPUTED_VALUE"""),"B")</f>
        <v>B</v>
      </c>
      <c r="E1244" s="189" t="str">
        <f ca="1">IFERROR(__xludf.DUMMYFUNCTION("""COMPUTED_VALUE"""),"F")</f>
        <v>F</v>
      </c>
      <c r="F1244" s="189" t="str">
        <f ca="1">IFERROR(__xludf.DUMMYFUNCTION("""COMPUTED_VALUE"""),"J")</f>
        <v>J</v>
      </c>
      <c r="G1244" s="189">
        <f ca="1">IFERROR(__xludf.DUMMYFUNCTION("""COMPUTED_VALUE"""),1)</f>
        <v>1</v>
      </c>
      <c r="H1244" s="196"/>
      <c r="I1244" s="196"/>
      <c r="J1244" s="196"/>
      <c r="K1244" s="196"/>
      <c r="L1244" s="196" t="str">
        <v/>
      </c>
      <c r="M1244" s="196"/>
    </row>
    <row r="1245" spans="1:13" ht="14.4" x14ac:dyDescent="0.3">
      <c r="A1245" s="189" t="str">
        <f ca="1">IFERROR(__xludf.DUMMYFUNCTION("""COMPUTED_VALUE"""),"O")</f>
        <v>O</v>
      </c>
      <c r="B1245" s="195" t="str">
        <f ca="1">IFERROR(__xludf.DUMMYFUNCTION("""COMPUTED_VALUE"""),"Nicholas Richardson")</f>
        <v>Nicholas Richardson</v>
      </c>
      <c r="C1245" s="189">
        <f ca="1">IFERROR(__xludf.DUMMYFUNCTION("""COMPUTED_VALUE"""),9)</f>
        <v>9</v>
      </c>
      <c r="D1245" s="189" t="str">
        <f ca="1">IFERROR(__xludf.DUMMYFUNCTION("""COMPUTED_VALUE"""),"B")</f>
        <v>B</v>
      </c>
      <c r="E1245" s="189" t="str">
        <f ca="1">IFERROR(__xludf.DUMMYFUNCTION("""COMPUTED_VALUE"""),"F")</f>
        <v>F</v>
      </c>
      <c r="F1245" s="189" t="str">
        <f ca="1">IFERROR(__xludf.DUMMYFUNCTION("""COMPUTED_VALUE"""),"J")</f>
        <v>J</v>
      </c>
      <c r="G1245" s="189">
        <f ca="1">IFERROR(__xludf.DUMMYFUNCTION("""COMPUTED_VALUE"""),1)</f>
        <v>1</v>
      </c>
      <c r="H1245" s="196"/>
      <c r="I1245" s="196"/>
      <c r="J1245" s="196"/>
      <c r="K1245" s="196"/>
      <c r="L1245" s="196" t="str">
        <v/>
      </c>
      <c r="M1245" s="196"/>
    </row>
    <row r="1246" spans="1:13" ht="14.4" x14ac:dyDescent="0.3">
      <c r="A1246" s="189" t="str">
        <f ca="1">IFERROR(__xludf.DUMMYFUNCTION("""COMPUTED_VALUE"""),"O")</f>
        <v>O</v>
      </c>
      <c r="B1246" s="195" t="str">
        <f ca="1">IFERROR(__xludf.DUMMYFUNCTION("""COMPUTED_VALUE"""),"Theo Hopkins")</f>
        <v>Theo Hopkins</v>
      </c>
      <c r="C1246" s="189">
        <f ca="1">IFERROR(__xludf.DUMMYFUNCTION("""COMPUTED_VALUE"""),8)</f>
        <v>8</v>
      </c>
      <c r="D1246" s="189" t="str">
        <f ca="1">IFERROR(__xludf.DUMMYFUNCTION("""COMPUTED_VALUE"""),"B")</f>
        <v>B</v>
      </c>
      <c r="E1246" s="189" t="str">
        <f ca="1">IFERROR(__xludf.DUMMYFUNCTION("""COMPUTED_VALUE"""),"F")</f>
        <v>F</v>
      </c>
      <c r="F1246" s="189" t="str">
        <f ca="1">IFERROR(__xludf.DUMMYFUNCTION("""COMPUTED_VALUE"""),"J")</f>
        <v>J</v>
      </c>
      <c r="G1246" s="189">
        <f ca="1">IFERROR(__xludf.DUMMYFUNCTION("""COMPUTED_VALUE"""),1)</f>
        <v>1</v>
      </c>
      <c r="H1246" s="196"/>
      <c r="I1246" s="196"/>
      <c r="J1246" s="196"/>
      <c r="K1246" s="196"/>
      <c r="L1246" s="196" t="str">
        <v/>
      </c>
      <c r="M1246" s="196"/>
    </row>
    <row r="1247" spans="1:13" ht="14.4" x14ac:dyDescent="0.3">
      <c r="A1247" s="189" t="str">
        <f ca="1">IFERROR(__xludf.DUMMYFUNCTION("""COMPUTED_VALUE"""),"O")</f>
        <v>O</v>
      </c>
      <c r="B1247" s="195" t="str">
        <f ca="1">IFERROR(__xludf.DUMMYFUNCTION("""COMPUTED_VALUE"""),"William Cravens")</f>
        <v>William Cravens</v>
      </c>
      <c r="C1247" s="189">
        <f ca="1">IFERROR(__xludf.DUMMYFUNCTION("""COMPUTED_VALUE"""),8)</f>
        <v>8</v>
      </c>
      <c r="D1247" s="189" t="str">
        <f ca="1">IFERROR(__xludf.DUMMYFUNCTION("""COMPUTED_VALUE"""),"B")</f>
        <v>B</v>
      </c>
      <c r="E1247" s="189" t="str">
        <f ca="1">IFERROR(__xludf.DUMMYFUNCTION("""COMPUTED_VALUE"""),"F")</f>
        <v>F</v>
      </c>
      <c r="F1247" s="189" t="str">
        <f ca="1">IFERROR(__xludf.DUMMYFUNCTION("""COMPUTED_VALUE"""),"J")</f>
        <v>J</v>
      </c>
      <c r="G1247" s="189">
        <f ca="1">IFERROR(__xludf.DUMMYFUNCTION("""COMPUTED_VALUE"""),1)</f>
        <v>1</v>
      </c>
      <c r="H1247" s="196"/>
      <c r="I1247" s="196"/>
      <c r="J1247" s="196"/>
      <c r="K1247" s="196"/>
      <c r="L1247" s="196" t="str">
        <v/>
      </c>
      <c r="M1247" s="196"/>
    </row>
    <row r="1248" spans="1:13" ht="14.4" x14ac:dyDescent="0.3">
      <c r="A1248" s="189" t="str">
        <f ca="1">IFERROR(__xludf.DUMMYFUNCTION("""COMPUTED_VALUE"""),"O")</f>
        <v>O</v>
      </c>
      <c r="B1248" s="195" t="str">
        <f ca="1">IFERROR(__xludf.DUMMYFUNCTION("""COMPUTED_VALUE"""),"Zachary Yen")</f>
        <v>Zachary Yen</v>
      </c>
      <c r="C1248" s="189">
        <f ca="1">IFERROR(__xludf.DUMMYFUNCTION("""COMPUTED_VALUE"""),9)</f>
        <v>9</v>
      </c>
      <c r="D1248" s="189" t="str">
        <f ca="1">IFERROR(__xludf.DUMMYFUNCTION("""COMPUTED_VALUE"""),"B")</f>
        <v>B</v>
      </c>
      <c r="E1248" s="189" t="str">
        <f ca="1">IFERROR(__xludf.DUMMYFUNCTION("""COMPUTED_VALUE"""),"F")</f>
        <v>F</v>
      </c>
      <c r="F1248" s="189" t="str">
        <f ca="1">IFERROR(__xludf.DUMMYFUNCTION("""COMPUTED_VALUE"""),"J")</f>
        <v>J</v>
      </c>
      <c r="G1248" s="189">
        <f ca="1">IFERROR(__xludf.DUMMYFUNCTION("""COMPUTED_VALUE"""),1)</f>
        <v>1</v>
      </c>
      <c r="H1248" s="196" t="s">
        <v>522</v>
      </c>
      <c r="I1248" s="196"/>
      <c r="J1248" s="196" t="s">
        <v>29</v>
      </c>
      <c r="K1248" s="196"/>
      <c r="L1248" s="196" t="str">
        <v xml:space="preserve"> 36.40</v>
      </c>
      <c r="M1248" s="196"/>
    </row>
    <row r="1249" spans="1:13" ht="14.4" x14ac:dyDescent="0.3">
      <c r="A1249" s="189" t="str">
        <f ca="1">IFERROR(__xludf.DUMMYFUNCTION("""COMPUTED_VALUE"""),"O")</f>
        <v>O</v>
      </c>
      <c r="B1249" s="195" t="str">
        <f ca="1">IFERROR(__xludf.DUMMYFUNCTION("""COMPUTED_VALUE"""),"Anna Dober")</f>
        <v>Anna Dober</v>
      </c>
      <c r="C1249" s="189">
        <f ca="1">IFERROR(__xludf.DUMMYFUNCTION("""COMPUTED_VALUE"""),14)</f>
        <v>14</v>
      </c>
      <c r="D1249" s="189" t="str">
        <f ca="1">IFERROR(__xludf.DUMMYFUNCTION("""COMPUTED_VALUE"""),"G")</f>
        <v>G</v>
      </c>
      <c r="E1249" s="189" t="str">
        <f ca="1">IFERROR(__xludf.DUMMYFUNCTION("""COMPUTED_VALUE"""),"I")</f>
        <v>I</v>
      </c>
      <c r="F1249" s="189" t="str">
        <f ca="1">IFERROR(__xludf.DUMMYFUNCTION("""COMPUTED_VALUE"""),"S")</f>
        <v>S</v>
      </c>
      <c r="G1249" s="189">
        <f ca="1">IFERROR(__xludf.DUMMYFUNCTION("""COMPUTED_VALUE"""),1)</f>
        <v>1</v>
      </c>
      <c r="H1249" s="196" t="s">
        <v>523</v>
      </c>
      <c r="I1249" s="196"/>
      <c r="J1249" s="196" t="s">
        <v>29</v>
      </c>
      <c r="K1249" s="196"/>
      <c r="L1249" s="196" t="str">
        <v xml:space="preserve"> 118.20</v>
      </c>
      <c r="M1249" s="196"/>
    </row>
    <row r="1250" spans="1:13" ht="14.4" x14ac:dyDescent="0.3">
      <c r="A1250" s="189" t="str">
        <f ca="1">IFERROR(__xludf.DUMMYFUNCTION("""COMPUTED_VALUE"""),"O")</f>
        <v>O</v>
      </c>
      <c r="B1250" s="195" t="str">
        <f ca="1">IFERROR(__xludf.DUMMYFUNCTION("""COMPUTED_VALUE"""),"CiCi Yen")</f>
        <v>CiCi Yen</v>
      </c>
      <c r="C1250" s="189">
        <f ca="1">IFERROR(__xludf.DUMMYFUNCTION("""COMPUTED_VALUE"""),13)</f>
        <v>13</v>
      </c>
      <c r="D1250" s="189" t="str">
        <f ca="1">IFERROR(__xludf.DUMMYFUNCTION("""COMPUTED_VALUE"""),"G")</f>
        <v>G</v>
      </c>
      <c r="E1250" s="189" t="str">
        <f ca="1">IFERROR(__xludf.DUMMYFUNCTION("""COMPUTED_VALUE"""),"I")</f>
        <v>I</v>
      </c>
      <c r="F1250" s="189" t="str">
        <f ca="1">IFERROR(__xludf.DUMMYFUNCTION("""COMPUTED_VALUE"""),"S")</f>
        <v>S</v>
      </c>
      <c r="G1250" s="189">
        <f ca="1">IFERROR(__xludf.DUMMYFUNCTION("""COMPUTED_VALUE"""),1)</f>
        <v>1</v>
      </c>
      <c r="H1250" s="196" t="s">
        <v>524</v>
      </c>
      <c r="I1250" s="196"/>
      <c r="J1250" s="196" t="s">
        <v>29</v>
      </c>
      <c r="K1250" s="196"/>
      <c r="L1250" s="196" t="str">
        <v xml:space="preserve"> 197.55</v>
      </c>
      <c r="M1250" s="196"/>
    </row>
    <row r="1251" spans="1:13" ht="14.4" x14ac:dyDescent="0.3">
      <c r="A1251" s="189" t="str">
        <f ca="1">IFERROR(__xludf.DUMMYFUNCTION("""COMPUTED_VALUE"""),"O")</f>
        <v>O</v>
      </c>
      <c r="B1251" s="195" t="str">
        <f ca="1">IFERROR(__xludf.DUMMYFUNCTION("""COMPUTED_VALUE"""),"Grace Bowser")</f>
        <v>Grace Bowser</v>
      </c>
      <c r="C1251" s="189">
        <f ca="1">IFERROR(__xludf.DUMMYFUNCTION("""COMPUTED_VALUE"""),14)</f>
        <v>14</v>
      </c>
      <c r="D1251" s="189" t="str">
        <f ca="1">IFERROR(__xludf.DUMMYFUNCTION("""COMPUTED_VALUE"""),"G")</f>
        <v>G</v>
      </c>
      <c r="E1251" s="189" t="str">
        <f ca="1">IFERROR(__xludf.DUMMYFUNCTION("""COMPUTED_VALUE"""),"I")</f>
        <v>I</v>
      </c>
      <c r="F1251" s="189" t="str">
        <f ca="1">IFERROR(__xludf.DUMMYFUNCTION("""COMPUTED_VALUE"""),"S")</f>
        <v>S</v>
      </c>
      <c r="G1251" s="189">
        <f ca="1">IFERROR(__xludf.DUMMYFUNCTION("""COMPUTED_VALUE"""),1)</f>
        <v>1</v>
      </c>
      <c r="H1251" s="196"/>
      <c r="I1251" s="196"/>
      <c r="J1251" s="196"/>
      <c r="K1251" s="196"/>
      <c r="L1251" s="196" t="str">
        <v/>
      </c>
      <c r="M1251" s="196"/>
    </row>
    <row r="1252" spans="1:13" ht="14.4" x14ac:dyDescent="0.3">
      <c r="A1252" s="189" t="str">
        <f ca="1">IFERROR(__xludf.DUMMYFUNCTION("""COMPUTED_VALUE"""),"O")</f>
        <v>O</v>
      </c>
      <c r="B1252" s="195" t="str">
        <f ca="1">IFERROR(__xludf.DUMMYFUNCTION("""COMPUTED_VALUE"""),"Josie Malko")</f>
        <v>Josie Malko</v>
      </c>
      <c r="C1252" s="189">
        <f ca="1">IFERROR(__xludf.DUMMYFUNCTION("""COMPUTED_VALUE"""),13)</f>
        <v>13</v>
      </c>
      <c r="D1252" s="189" t="str">
        <f ca="1">IFERROR(__xludf.DUMMYFUNCTION("""COMPUTED_VALUE"""),"G")</f>
        <v>G</v>
      </c>
      <c r="E1252" s="189" t="str">
        <f ca="1">IFERROR(__xludf.DUMMYFUNCTION("""COMPUTED_VALUE"""),"I")</f>
        <v>I</v>
      </c>
      <c r="F1252" s="189" t="str">
        <f ca="1">IFERROR(__xludf.DUMMYFUNCTION("""COMPUTED_VALUE"""),"S")</f>
        <v>S</v>
      </c>
      <c r="G1252" s="189">
        <f ca="1">IFERROR(__xludf.DUMMYFUNCTION("""COMPUTED_VALUE"""),1)</f>
        <v>1</v>
      </c>
      <c r="H1252" s="196"/>
      <c r="I1252" s="196"/>
      <c r="J1252" s="196"/>
      <c r="K1252" s="196"/>
      <c r="L1252" s="196" t="str">
        <v/>
      </c>
      <c r="M1252" s="196"/>
    </row>
    <row r="1253" spans="1:13" ht="14.4" x14ac:dyDescent="0.3">
      <c r="A1253" s="189" t="str">
        <f ca="1">IFERROR(__xludf.DUMMYFUNCTION("""COMPUTED_VALUE"""),"O")</f>
        <v>O</v>
      </c>
      <c r="B1253" s="195" t="str">
        <f ca="1">IFERROR(__xludf.DUMMYFUNCTION("""COMPUTED_VALUE"""),"Samantha Hobbs")</f>
        <v>Samantha Hobbs</v>
      </c>
      <c r="C1253" s="189">
        <f ca="1">IFERROR(__xludf.DUMMYFUNCTION("""COMPUTED_VALUE"""),13)</f>
        <v>13</v>
      </c>
      <c r="D1253" s="189" t="str">
        <f ca="1">IFERROR(__xludf.DUMMYFUNCTION("""COMPUTED_VALUE"""),"G")</f>
        <v>G</v>
      </c>
      <c r="E1253" s="189" t="str">
        <f ca="1">IFERROR(__xludf.DUMMYFUNCTION("""COMPUTED_VALUE"""),"I")</f>
        <v>I</v>
      </c>
      <c r="F1253" s="189" t="str">
        <f ca="1">IFERROR(__xludf.DUMMYFUNCTION("""COMPUTED_VALUE"""),"S")</f>
        <v>S</v>
      </c>
      <c r="G1253" s="189">
        <f ca="1">IFERROR(__xludf.DUMMYFUNCTION("""COMPUTED_VALUE"""),1)</f>
        <v>1</v>
      </c>
      <c r="H1253" s="196" t="s">
        <v>525</v>
      </c>
      <c r="I1253" s="196"/>
      <c r="J1253" s="196" t="s">
        <v>29</v>
      </c>
      <c r="K1253" s="196"/>
      <c r="L1253" s="196" t="str">
        <v xml:space="preserve"> 102.20</v>
      </c>
      <c r="M1253" s="196"/>
    </row>
    <row r="1254" spans="1:13" ht="14.4" x14ac:dyDescent="0.3">
      <c r="A1254" s="189" t="str">
        <f ca="1">IFERROR(__xludf.DUMMYFUNCTION("""COMPUTED_VALUE"""),"O")</f>
        <v>O</v>
      </c>
      <c r="B1254" s="195" t="str">
        <f ca="1">IFERROR(__xludf.DUMMYFUNCTION("""COMPUTED_VALUE"""),"Scarlett Waltrup")</f>
        <v>Scarlett Waltrup</v>
      </c>
      <c r="C1254" s="189">
        <f ca="1">IFERROR(__xludf.DUMMYFUNCTION("""COMPUTED_VALUE"""),14)</f>
        <v>14</v>
      </c>
      <c r="D1254" s="189" t="str">
        <f ca="1">IFERROR(__xludf.DUMMYFUNCTION("""COMPUTED_VALUE"""),"G")</f>
        <v>G</v>
      </c>
      <c r="E1254" s="189" t="str">
        <f ca="1">IFERROR(__xludf.DUMMYFUNCTION("""COMPUTED_VALUE"""),"I")</f>
        <v>I</v>
      </c>
      <c r="F1254" s="189" t="str">
        <f ca="1">IFERROR(__xludf.DUMMYFUNCTION("""COMPUTED_VALUE"""),"S")</f>
        <v>S</v>
      </c>
      <c r="G1254" s="189">
        <f ca="1">IFERROR(__xludf.DUMMYFUNCTION("""COMPUTED_VALUE"""),1)</f>
        <v>1</v>
      </c>
      <c r="H1254" s="196" t="s">
        <v>526</v>
      </c>
      <c r="I1254" s="196"/>
      <c r="J1254" s="196" t="s">
        <v>29</v>
      </c>
      <c r="K1254" s="196"/>
      <c r="L1254" s="196" t="str">
        <v xml:space="preserve"> 118.60</v>
      </c>
      <c r="M1254" s="196"/>
    </row>
    <row r="1255" spans="1:13" ht="14.4" x14ac:dyDescent="0.3">
      <c r="A1255" s="189" t="str">
        <f ca="1">IFERROR(__xludf.DUMMYFUNCTION("""COMPUTED_VALUE"""),"O")</f>
        <v>O</v>
      </c>
      <c r="B1255" s="195" t="str">
        <f ca="1">IFERROR(__xludf.DUMMYFUNCTION("""COMPUTED_VALUE"""),"Haynes Deegan")</f>
        <v>Haynes Deegan</v>
      </c>
      <c r="C1255" s="189">
        <f ca="1">IFERROR(__xludf.DUMMYFUNCTION("""COMPUTED_VALUE"""),14)</f>
        <v>14</v>
      </c>
      <c r="D1255" s="189" t="str">
        <f ca="1">IFERROR(__xludf.DUMMYFUNCTION("""COMPUTED_VALUE"""),"B")</f>
        <v>B</v>
      </c>
      <c r="E1255" s="189" t="str">
        <f ca="1">IFERROR(__xludf.DUMMYFUNCTION("""COMPUTED_VALUE"""),"I")</f>
        <v>I</v>
      </c>
      <c r="F1255" s="189" t="str">
        <f ca="1">IFERROR(__xludf.DUMMYFUNCTION("""COMPUTED_VALUE"""),"S")</f>
        <v>S</v>
      </c>
      <c r="G1255" s="189">
        <f ca="1">IFERROR(__xludf.DUMMYFUNCTION("""COMPUTED_VALUE"""),1)</f>
        <v>1</v>
      </c>
      <c r="H1255" s="196" t="s">
        <v>527</v>
      </c>
      <c r="I1255" s="196"/>
      <c r="J1255" s="196" t="s">
        <v>29</v>
      </c>
      <c r="K1255" s="196"/>
      <c r="L1255" s="196" t="str">
        <v xml:space="preserve"> 112.60</v>
      </c>
      <c r="M1255" s="196"/>
    </row>
    <row r="1256" spans="1:13" ht="14.4" x14ac:dyDescent="0.3">
      <c r="A1256" s="189" t="str">
        <f ca="1">IFERROR(__xludf.DUMMYFUNCTION("""COMPUTED_VALUE"""),"O")</f>
        <v>O</v>
      </c>
      <c r="B1256" s="195" t="str">
        <f ca="1">IFERROR(__xludf.DUMMYFUNCTION("""COMPUTED_VALUE"""),"John Raber")</f>
        <v>John Raber</v>
      </c>
      <c r="C1256" s="189">
        <f ca="1">IFERROR(__xludf.DUMMYFUNCTION("""COMPUTED_VALUE"""),13)</f>
        <v>13</v>
      </c>
      <c r="D1256" s="189" t="str">
        <f ca="1">IFERROR(__xludf.DUMMYFUNCTION("""COMPUTED_VALUE"""),"B")</f>
        <v>B</v>
      </c>
      <c r="E1256" s="189" t="str">
        <f ca="1">IFERROR(__xludf.DUMMYFUNCTION("""COMPUTED_VALUE"""),"I")</f>
        <v>I</v>
      </c>
      <c r="F1256" s="189" t="str">
        <f ca="1">IFERROR(__xludf.DUMMYFUNCTION("""COMPUTED_VALUE"""),"S")</f>
        <v>S</v>
      </c>
      <c r="G1256" s="189">
        <f ca="1">IFERROR(__xludf.DUMMYFUNCTION("""COMPUTED_VALUE"""),1)</f>
        <v>1</v>
      </c>
      <c r="H1256" s="196"/>
      <c r="I1256" s="196"/>
      <c r="J1256" s="196"/>
      <c r="K1256" s="196"/>
      <c r="L1256" s="196" t="str">
        <v/>
      </c>
      <c r="M1256" s="196"/>
    </row>
    <row r="1257" spans="1:13" ht="14.4" x14ac:dyDescent="0.3">
      <c r="A1257" s="189" t="str">
        <f ca="1">IFERROR(__xludf.DUMMYFUNCTION("""COMPUTED_VALUE"""),"O")</f>
        <v>O</v>
      </c>
      <c r="B1257" s="195" t="str">
        <f ca="1">IFERROR(__xludf.DUMMYFUNCTION("""COMPUTED_VALUE"""),"Kris Martelli")</f>
        <v>Kris Martelli</v>
      </c>
      <c r="C1257" s="189">
        <f ca="1">IFERROR(__xludf.DUMMYFUNCTION("""COMPUTED_VALUE"""),14)</f>
        <v>14</v>
      </c>
      <c r="D1257" s="189" t="str">
        <f ca="1">IFERROR(__xludf.DUMMYFUNCTION("""COMPUTED_VALUE"""),"B")</f>
        <v>B</v>
      </c>
      <c r="E1257" s="189" t="str">
        <f ca="1">IFERROR(__xludf.DUMMYFUNCTION("""COMPUTED_VALUE"""),"I")</f>
        <v>I</v>
      </c>
      <c r="F1257" s="189" t="str">
        <f ca="1">IFERROR(__xludf.DUMMYFUNCTION("""COMPUTED_VALUE"""),"S")</f>
        <v>S</v>
      </c>
      <c r="G1257" s="189">
        <f ca="1">IFERROR(__xludf.DUMMYFUNCTION("""COMPUTED_VALUE"""),1)</f>
        <v>1</v>
      </c>
      <c r="H1257" s="196"/>
      <c r="I1257" s="196"/>
      <c r="J1257" s="196"/>
      <c r="K1257" s="196"/>
      <c r="L1257" s="196" t="str">
        <v/>
      </c>
      <c r="M1257" s="196"/>
    </row>
    <row r="1258" spans="1:13" ht="14.4" x14ac:dyDescent="0.3">
      <c r="A1258" s="189" t="str">
        <f ca="1">IFERROR(__xludf.DUMMYFUNCTION("""COMPUTED_VALUE"""),"O")</f>
        <v>O</v>
      </c>
      <c r="B1258" s="195" t="str">
        <f ca="1">IFERROR(__xludf.DUMMYFUNCTION("""COMPUTED_VALUE"""),"Avery Ehst")</f>
        <v>Avery Ehst</v>
      </c>
      <c r="C1258" s="189">
        <f ca="1">IFERROR(__xludf.DUMMYFUNCTION("""COMPUTED_VALUE"""),11)</f>
        <v>11</v>
      </c>
      <c r="D1258" s="189" t="str">
        <f ca="1">IFERROR(__xludf.DUMMYFUNCTION("""COMPUTED_VALUE"""),"G")</f>
        <v>G</v>
      </c>
      <c r="E1258" s="189" t="str">
        <f ca="1">IFERROR(__xludf.DUMMYFUNCTION("""COMPUTED_VALUE"""),"J")</f>
        <v>J</v>
      </c>
      <c r="F1258" s="189" t="str">
        <f ca="1">IFERROR(__xludf.DUMMYFUNCTION("""COMPUTED_VALUE"""),"I")</f>
        <v>I</v>
      </c>
      <c r="G1258" s="189">
        <f ca="1">IFERROR(__xludf.DUMMYFUNCTION("""COMPUTED_VALUE"""),1)</f>
        <v>1</v>
      </c>
      <c r="H1258" s="196"/>
      <c r="I1258" s="196"/>
      <c r="J1258" s="196"/>
      <c r="K1258" s="196"/>
      <c r="L1258" s="196" t="str">
        <v/>
      </c>
      <c r="M1258" s="196"/>
    </row>
    <row r="1259" spans="1:13" ht="14.4" x14ac:dyDescent="0.3">
      <c r="A1259" s="189" t="str">
        <f ca="1">IFERROR(__xludf.DUMMYFUNCTION("""COMPUTED_VALUE"""),"O")</f>
        <v>O</v>
      </c>
      <c r="B1259" s="195" t="str">
        <f ca="1">IFERROR(__xludf.DUMMYFUNCTION("""COMPUTED_VALUE"""),"Emme Waltrup")</f>
        <v>Emme Waltrup</v>
      </c>
      <c r="C1259" s="189">
        <f ca="1">IFERROR(__xludf.DUMMYFUNCTION("""COMPUTED_VALUE"""),11)</f>
        <v>11</v>
      </c>
      <c r="D1259" s="189" t="str">
        <f ca="1">IFERROR(__xludf.DUMMYFUNCTION("""COMPUTED_VALUE"""),"G")</f>
        <v>G</v>
      </c>
      <c r="E1259" s="189" t="str">
        <f ca="1">IFERROR(__xludf.DUMMYFUNCTION("""COMPUTED_VALUE"""),"J")</f>
        <v>J</v>
      </c>
      <c r="F1259" s="189" t="str">
        <f ca="1">IFERROR(__xludf.DUMMYFUNCTION("""COMPUTED_VALUE"""),"I")</f>
        <v>I</v>
      </c>
      <c r="G1259" s="189">
        <f ca="1">IFERROR(__xludf.DUMMYFUNCTION("""COMPUTED_VALUE"""),1)</f>
        <v>1</v>
      </c>
      <c r="H1259" s="196" t="s">
        <v>528</v>
      </c>
      <c r="I1259" s="196"/>
      <c r="J1259" s="196" t="s">
        <v>29</v>
      </c>
      <c r="K1259" s="196"/>
      <c r="L1259" s="196" t="str">
        <v xml:space="preserve"> 90.55</v>
      </c>
      <c r="M1259" s="196"/>
    </row>
    <row r="1260" spans="1:13" ht="14.4" x14ac:dyDescent="0.3">
      <c r="A1260" s="189" t="str">
        <f ca="1">IFERROR(__xludf.DUMMYFUNCTION("""COMPUTED_VALUE"""),"O")</f>
        <v>O</v>
      </c>
      <c r="B1260" s="195" t="str">
        <f ca="1">IFERROR(__xludf.DUMMYFUNCTION("""COMPUTED_VALUE"""),"Greta Bowser")</f>
        <v>Greta Bowser</v>
      </c>
      <c r="C1260" s="189">
        <f ca="1">IFERROR(__xludf.DUMMYFUNCTION("""COMPUTED_VALUE"""),11)</f>
        <v>11</v>
      </c>
      <c r="D1260" s="189" t="str">
        <f ca="1">IFERROR(__xludf.DUMMYFUNCTION("""COMPUTED_VALUE"""),"G")</f>
        <v>G</v>
      </c>
      <c r="E1260" s="189" t="str">
        <f ca="1">IFERROR(__xludf.DUMMYFUNCTION("""COMPUTED_VALUE"""),"J")</f>
        <v>J</v>
      </c>
      <c r="F1260" s="189" t="str">
        <f ca="1">IFERROR(__xludf.DUMMYFUNCTION("""COMPUTED_VALUE"""),"I")</f>
        <v>I</v>
      </c>
      <c r="G1260" s="189">
        <f ca="1">IFERROR(__xludf.DUMMYFUNCTION("""COMPUTED_VALUE"""),1)</f>
        <v>1</v>
      </c>
      <c r="H1260" s="196" t="s">
        <v>529</v>
      </c>
      <c r="I1260" s="196"/>
      <c r="J1260" s="196" t="s">
        <v>29</v>
      </c>
      <c r="K1260" s="196"/>
      <c r="L1260" s="196" t="str">
        <v xml:space="preserve"> 90.45</v>
      </c>
      <c r="M1260" s="196"/>
    </row>
    <row r="1261" spans="1:13" ht="14.4" x14ac:dyDescent="0.3">
      <c r="A1261" s="189" t="str">
        <f ca="1">IFERROR(__xludf.DUMMYFUNCTION("""COMPUTED_VALUE"""),"O")</f>
        <v>O</v>
      </c>
      <c r="B1261" s="195" t="str">
        <f ca="1">IFERROR(__xludf.DUMMYFUNCTION("""COMPUTED_VALUE"""),"Kenly McAllister")</f>
        <v>Kenly McAllister</v>
      </c>
      <c r="C1261" s="189">
        <f ca="1">IFERROR(__xludf.DUMMYFUNCTION("""COMPUTED_VALUE"""),12)</f>
        <v>12</v>
      </c>
      <c r="D1261" s="189" t="str">
        <f ca="1">IFERROR(__xludf.DUMMYFUNCTION("""COMPUTED_VALUE"""),"G")</f>
        <v>G</v>
      </c>
      <c r="E1261" s="189" t="str">
        <f ca="1">IFERROR(__xludf.DUMMYFUNCTION("""COMPUTED_VALUE"""),"J")</f>
        <v>J</v>
      </c>
      <c r="F1261" s="189" t="str">
        <f ca="1">IFERROR(__xludf.DUMMYFUNCTION("""COMPUTED_VALUE"""),"I")</f>
        <v>I</v>
      </c>
      <c r="G1261" s="189">
        <f ca="1">IFERROR(__xludf.DUMMYFUNCTION("""COMPUTED_VALUE"""),1)</f>
        <v>1</v>
      </c>
      <c r="H1261" s="196" t="s">
        <v>530</v>
      </c>
      <c r="I1261" s="196"/>
      <c r="J1261" s="196" t="s">
        <v>29</v>
      </c>
      <c r="K1261" s="196"/>
      <c r="L1261" s="196" t="str">
        <v xml:space="preserve"> 85.40</v>
      </c>
      <c r="M1261" s="196"/>
    </row>
    <row r="1262" spans="1:13" ht="14.4" x14ac:dyDescent="0.3">
      <c r="A1262" s="189" t="str">
        <f ca="1">IFERROR(__xludf.DUMMYFUNCTION("""COMPUTED_VALUE"""),"O")</f>
        <v>O</v>
      </c>
      <c r="B1262" s="195" t="str">
        <f ca="1">IFERROR(__xludf.DUMMYFUNCTION("""COMPUTED_VALUE"""),"Libby Collins")</f>
        <v>Libby Collins</v>
      </c>
      <c r="C1262" s="189">
        <f ca="1">IFERROR(__xludf.DUMMYFUNCTION("""COMPUTED_VALUE"""),11)</f>
        <v>11</v>
      </c>
      <c r="D1262" s="189" t="str">
        <f ca="1">IFERROR(__xludf.DUMMYFUNCTION("""COMPUTED_VALUE"""),"G")</f>
        <v>G</v>
      </c>
      <c r="E1262" s="189" t="str">
        <f ca="1">IFERROR(__xludf.DUMMYFUNCTION("""COMPUTED_VALUE"""),"J")</f>
        <v>J</v>
      </c>
      <c r="F1262" s="189" t="str">
        <f ca="1">IFERROR(__xludf.DUMMYFUNCTION("""COMPUTED_VALUE"""),"I")</f>
        <v>I</v>
      </c>
      <c r="G1262" s="189">
        <f ca="1">IFERROR(__xludf.DUMMYFUNCTION("""COMPUTED_VALUE"""),1)</f>
        <v>1</v>
      </c>
      <c r="H1262" s="196"/>
      <c r="I1262" s="196"/>
      <c r="J1262" s="196"/>
      <c r="K1262" s="196"/>
      <c r="L1262" s="196" t="str">
        <v/>
      </c>
      <c r="M1262" s="196"/>
    </row>
    <row r="1263" spans="1:13" ht="14.4" x14ac:dyDescent="0.3">
      <c r="A1263" s="189" t="str">
        <f ca="1">IFERROR(__xludf.DUMMYFUNCTION("""COMPUTED_VALUE"""),"O")</f>
        <v>O</v>
      </c>
      <c r="B1263" s="195" t="str">
        <f ca="1">IFERROR(__xludf.DUMMYFUNCTION("""COMPUTED_VALUE"""),"McKay Deegan")</f>
        <v>McKay Deegan</v>
      </c>
      <c r="C1263" s="189">
        <f ca="1">IFERROR(__xludf.DUMMYFUNCTION("""COMPUTED_VALUE"""),12)</f>
        <v>12</v>
      </c>
      <c r="D1263" s="189" t="str">
        <f ca="1">IFERROR(__xludf.DUMMYFUNCTION("""COMPUTED_VALUE"""),"G")</f>
        <v>G</v>
      </c>
      <c r="E1263" s="189" t="str">
        <f ca="1">IFERROR(__xludf.DUMMYFUNCTION("""COMPUTED_VALUE"""),"J")</f>
        <v>J</v>
      </c>
      <c r="F1263" s="189" t="str">
        <f ca="1">IFERROR(__xludf.DUMMYFUNCTION("""COMPUTED_VALUE"""),"I")</f>
        <v>I</v>
      </c>
      <c r="G1263" s="189">
        <f ca="1">IFERROR(__xludf.DUMMYFUNCTION("""COMPUTED_VALUE"""),1)</f>
        <v>1</v>
      </c>
      <c r="H1263" s="196" t="s">
        <v>531</v>
      </c>
      <c r="I1263" s="196"/>
      <c r="J1263" s="196" t="s">
        <v>29</v>
      </c>
      <c r="K1263" s="196"/>
      <c r="L1263" s="196" t="str">
        <v xml:space="preserve"> 107.75</v>
      </c>
      <c r="M1263" s="196"/>
    </row>
    <row r="1264" spans="1:13" ht="14.4" x14ac:dyDescent="0.3">
      <c r="A1264" s="189" t="str">
        <f ca="1">IFERROR(__xludf.DUMMYFUNCTION("""COMPUTED_VALUE"""),"O")</f>
        <v>O</v>
      </c>
      <c r="B1264" s="195" t="str">
        <f ca="1">IFERROR(__xludf.DUMMYFUNCTION("""COMPUTED_VALUE"""),"Sofia Gyor")</f>
        <v>Sofia Gyor</v>
      </c>
      <c r="C1264" s="189">
        <f ca="1">IFERROR(__xludf.DUMMYFUNCTION("""COMPUTED_VALUE"""),12)</f>
        <v>12</v>
      </c>
      <c r="D1264" s="189" t="str">
        <f ca="1">IFERROR(__xludf.DUMMYFUNCTION("""COMPUTED_VALUE"""),"G")</f>
        <v>G</v>
      </c>
      <c r="E1264" s="189" t="str">
        <f ca="1">IFERROR(__xludf.DUMMYFUNCTION("""COMPUTED_VALUE"""),"J")</f>
        <v>J</v>
      </c>
      <c r="F1264" s="189" t="str">
        <f ca="1">IFERROR(__xludf.DUMMYFUNCTION("""COMPUTED_VALUE"""),"I")</f>
        <v>I</v>
      </c>
      <c r="G1264" s="189">
        <f ca="1">IFERROR(__xludf.DUMMYFUNCTION("""COMPUTED_VALUE"""),1)</f>
        <v>1</v>
      </c>
      <c r="H1264" s="196" t="s">
        <v>171</v>
      </c>
      <c r="I1264" s="196"/>
      <c r="J1264" s="196" t="s">
        <v>29</v>
      </c>
      <c r="K1264" s="196"/>
      <c r="L1264" s="196" t="str">
        <v xml:space="preserve"> 64.85</v>
      </c>
      <c r="M1264" s="196"/>
    </row>
    <row r="1265" spans="1:13" ht="14.4" x14ac:dyDescent="0.3">
      <c r="A1265" s="189" t="str">
        <f ca="1">IFERROR(__xludf.DUMMYFUNCTION("""COMPUTED_VALUE"""),"O")</f>
        <v>O</v>
      </c>
      <c r="B1265" s="195" t="str">
        <f ca="1">IFERROR(__xludf.DUMMYFUNCTION("""COMPUTED_VALUE"""),"Archer Kouhestani")</f>
        <v>Archer Kouhestani</v>
      </c>
      <c r="C1265" s="189">
        <f ca="1">IFERROR(__xludf.DUMMYFUNCTION("""COMPUTED_VALUE"""),12)</f>
        <v>12</v>
      </c>
      <c r="D1265" s="189" t="str">
        <f ca="1">IFERROR(__xludf.DUMMYFUNCTION("""COMPUTED_VALUE"""),"B")</f>
        <v>B</v>
      </c>
      <c r="E1265" s="189" t="str">
        <f ca="1">IFERROR(__xludf.DUMMYFUNCTION("""COMPUTED_VALUE"""),"J")</f>
        <v>J</v>
      </c>
      <c r="F1265" s="189" t="str">
        <f ca="1">IFERROR(__xludf.DUMMYFUNCTION("""COMPUTED_VALUE"""),"I")</f>
        <v>I</v>
      </c>
      <c r="G1265" s="189">
        <f ca="1">IFERROR(__xludf.DUMMYFUNCTION("""COMPUTED_VALUE"""),1)</f>
        <v>1</v>
      </c>
      <c r="H1265" s="196" t="s">
        <v>532</v>
      </c>
      <c r="I1265" s="196"/>
      <c r="J1265" s="196" t="s">
        <v>29</v>
      </c>
      <c r="K1265" s="196"/>
      <c r="L1265" s="196" t="str">
        <v xml:space="preserve"> 81.90</v>
      </c>
      <c r="M1265" s="196"/>
    </row>
    <row r="1266" spans="1:13" ht="14.4" x14ac:dyDescent="0.3">
      <c r="A1266" s="189" t="str">
        <f ca="1">IFERROR(__xludf.DUMMYFUNCTION("""COMPUTED_VALUE"""),"O")</f>
        <v>O</v>
      </c>
      <c r="B1266" s="195" t="str">
        <f ca="1">IFERROR(__xludf.DUMMYFUNCTION("""COMPUTED_VALUE"""),"Brennan Gyor")</f>
        <v>Brennan Gyor</v>
      </c>
      <c r="C1266" s="189">
        <f ca="1">IFERROR(__xludf.DUMMYFUNCTION("""COMPUTED_VALUE"""),12)</f>
        <v>12</v>
      </c>
      <c r="D1266" s="189" t="str">
        <f ca="1">IFERROR(__xludf.DUMMYFUNCTION("""COMPUTED_VALUE"""),"B")</f>
        <v>B</v>
      </c>
      <c r="E1266" s="189" t="str">
        <f ca="1">IFERROR(__xludf.DUMMYFUNCTION("""COMPUTED_VALUE"""),"J")</f>
        <v>J</v>
      </c>
      <c r="F1266" s="189" t="str">
        <f ca="1">IFERROR(__xludf.DUMMYFUNCTION("""COMPUTED_VALUE"""),"I")</f>
        <v>I</v>
      </c>
      <c r="G1266" s="189">
        <f ca="1">IFERROR(__xludf.DUMMYFUNCTION("""COMPUTED_VALUE"""),1)</f>
        <v>1</v>
      </c>
      <c r="H1266" s="196"/>
      <c r="I1266" s="196"/>
      <c r="J1266" s="196"/>
      <c r="K1266" s="196"/>
      <c r="L1266" s="196" t="str">
        <v/>
      </c>
      <c r="M1266" s="196"/>
    </row>
    <row r="1267" spans="1:13" ht="14.4" x14ac:dyDescent="0.3">
      <c r="A1267" s="189" t="str">
        <f ca="1">IFERROR(__xludf.DUMMYFUNCTION("""COMPUTED_VALUE"""),"O")</f>
        <v>O</v>
      </c>
      <c r="B1267" s="195" t="str">
        <f ca="1">IFERROR(__xludf.DUMMYFUNCTION("""COMPUTED_VALUE"""),"Carter Williams")</f>
        <v>Carter Williams</v>
      </c>
      <c r="C1267" s="189">
        <f ca="1">IFERROR(__xludf.DUMMYFUNCTION("""COMPUTED_VALUE"""),11)</f>
        <v>11</v>
      </c>
      <c r="D1267" s="189" t="str">
        <f ca="1">IFERROR(__xludf.DUMMYFUNCTION("""COMPUTED_VALUE"""),"B")</f>
        <v>B</v>
      </c>
      <c r="E1267" s="189" t="str">
        <f ca="1">IFERROR(__xludf.DUMMYFUNCTION("""COMPUTED_VALUE"""),"J")</f>
        <v>J</v>
      </c>
      <c r="F1267" s="189" t="str">
        <f ca="1">IFERROR(__xludf.DUMMYFUNCTION("""COMPUTED_VALUE"""),"I")</f>
        <v>I</v>
      </c>
      <c r="G1267" s="189">
        <f ca="1">IFERROR(__xludf.DUMMYFUNCTION("""COMPUTED_VALUE"""),1)</f>
        <v>1</v>
      </c>
      <c r="H1267" s="196" t="s">
        <v>533</v>
      </c>
      <c r="I1267" s="196"/>
      <c r="J1267" s="196" t="s">
        <v>29</v>
      </c>
      <c r="K1267" s="196"/>
      <c r="L1267" s="196" t="str">
        <v xml:space="preserve"> 70.20</v>
      </c>
      <c r="M1267" s="196"/>
    </row>
    <row r="1268" spans="1:13" ht="14.4" x14ac:dyDescent="0.3">
      <c r="A1268" s="189" t="str">
        <f ca="1">IFERROR(__xludf.DUMMYFUNCTION("""COMPUTED_VALUE"""),"O")</f>
        <v>O</v>
      </c>
      <c r="B1268" s="195" t="str">
        <f ca="1">IFERROR(__xludf.DUMMYFUNCTION("""COMPUTED_VALUE"""),"Curtis Richardson")</f>
        <v>Curtis Richardson</v>
      </c>
      <c r="C1268" s="189">
        <f ca="1">IFERROR(__xludf.DUMMYFUNCTION("""COMPUTED_VALUE"""),11)</f>
        <v>11</v>
      </c>
      <c r="D1268" s="189" t="str">
        <f ca="1">IFERROR(__xludf.DUMMYFUNCTION("""COMPUTED_VALUE"""),"B")</f>
        <v>B</v>
      </c>
      <c r="E1268" s="189" t="str">
        <f ca="1">IFERROR(__xludf.DUMMYFUNCTION("""COMPUTED_VALUE"""),"J")</f>
        <v>J</v>
      </c>
      <c r="F1268" s="189" t="str">
        <f ca="1">IFERROR(__xludf.DUMMYFUNCTION("""COMPUTED_VALUE"""),"I")</f>
        <v>I</v>
      </c>
      <c r="G1268" s="189">
        <f ca="1">IFERROR(__xludf.DUMMYFUNCTION("""COMPUTED_VALUE"""),1)</f>
        <v>1</v>
      </c>
      <c r="H1268" s="196"/>
      <c r="I1268" s="196"/>
      <c r="J1268" s="196"/>
      <c r="K1268" s="196"/>
      <c r="L1268" s="196" t="str">
        <v/>
      </c>
      <c r="M1268" s="196"/>
    </row>
    <row r="1269" spans="1:13" ht="14.4" x14ac:dyDescent="0.3">
      <c r="A1269" s="189" t="str">
        <f ca="1">IFERROR(__xludf.DUMMYFUNCTION("""COMPUTED_VALUE"""),"O")</f>
        <v>O</v>
      </c>
      <c r="B1269" s="195" t="str">
        <f ca="1">IFERROR(__xludf.DUMMYFUNCTION("""COMPUTED_VALUE"""),"Elliot Raber")</f>
        <v>Elliot Raber</v>
      </c>
      <c r="C1269" s="189">
        <f ca="1">IFERROR(__xludf.DUMMYFUNCTION("""COMPUTED_VALUE"""),11)</f>
        <v>11</v>
      </c>
      <c r="D1269" s="189" t="str">
        <f ca="1">IFERROR(__xludf.DUMMYFUNCTION("""COMPUTED_VALUE"""),"B")</f>
        <v>B</v>
      </c>
      <c r="E1269" s="189" t="str">
        <f ca="1">IFERROR(__xludf.DUMMYFUNCTION("""COMPUTED_VALUE"""),"J")</f>
        <v>J</v>
      </c>
      <c r="F1269" s="189" t="str">
        <f ca="1">IFERROR(__xludf.DUMMYFUNCTION("""COMPUTED_VALUE"""),"I")</f>
        <v>I</v>
      </c>
      <c r="G1269" s="189">
        <f ca="1">IFERROR(__xludf.DUMMYFUNCTION("""COMPUTED_VALUE"""),1)</f>
        <v>1</v>
      </c>
      <c r="H1269" s="196"/>
      <c r="I1269" s="196"/>
      <c r="J1269" s="196"/>
      <c r="K1269" s="196"/>
      <c r="L1269" s="196" t="str">
        <v/>
      </c>
      <c r="M1269" s="196"/>
    </row>
    <row r="1270" spans="1:13" ht="14.4" x14ac:dyDescent="0.3">
      <c r="A1270" s="189" t="str">
        <f ca="1">IFERROR(__xludf.DUMMYFUNCTION("""COMPUTED_VALUE"""),"O")</f>
        <v>O</v>
      </c>
      <c r="B1270" s="195" t="str">
        <f ca="1">IFERROR(__xludf.DUMMYFUNCTION("""COMPUTED_VALUE"""),"Grant Mitchell")</f>
        <v>Grant Mitchell</v>
      </c>
      <c r="C1270" s="189">
        <f ca="1">IFERROR(__xludf.DUMMYFUNCTION("""COMPUTED_VALUE"""),12)</f>
        <v>12</v>
      </c>
      <c r="D1270" s="189" t="str">
        <f ca="1">IFERROR(__xludf.DUMMYFUNCTION("""COMPUTED_VALUE"""),"B")</f>
        <v>B</v>
      </c>
      <c r="E1270" s="189" t="str">
        <f ca="1">IFERROR(__xludf.DUMMYFUNCTION("""COMPUTED_VALUE"""),"J")</f>
        <v>J</v>
      </c>
      <c r="F1270" s="189" t="str">
        <f ca="1">IFERROR(__xludf.DUMMYFUNCTION("""COMPUTED_VALUE"""),"I")</f>
        <v>I</v>
      </c>
      <c r="G1270" s="189">
        <f ca="1">IFERROR(__xludf.DUMMYFUNCTION("""COMPUTED_VALUE"""),1)</f>
        <v>1</v>
      </c>
      <c r="H1270" s="196"/>
      <c r="I1270" s="196"/>
      <c r="J1270" s="196"/>
      <c r="K1270" s="196"/>
      <c r="L1270" s="196" t="str">
        <v/>
      </c>
      <c r="M1270" s="196"/>
    </row>
    <row r="1271" spans="1:13" ht="14.4" x14ac:dyDescent="0.3">
      <c r="A1271" s="189" t="str">
        <f ca="1">IFERROR(__xludf.DUMMYFUNCTION("""COMPUTED_VALUE"""),"O")</f>
        <v>O</v>
      </c>
      <c r="B1271" s="195" t="str">
        <f ca="1">IFERROR(__xludf.DUMMYFUNCTION("""COMPUTED_VALUE"""),"Logan Schuster")</f>
        <v>Logan Schuster</v>
      </c>
      <c r="C1271" s="189">
        <f ca="1">IFERROR(__xludf.DUMMYFUNCTION("""COMPUTED_VALUE"""),11)</f>
        <v>11</v>
      </c>
      <c r="D1271" s="189" t="str">
        <f ca="1">IFERROR(__xludf.DUMMYFUNCTION("""COMPUTED_VALUE"""),"B")</f>
        <v>B</v>
      </c>
      <c r="E1271" s="189" t="str">
        <f ca="1">IFERROR(__xludf.DUMMYFUNCTION("""COMPUTED_VALUE"""),"J")</f>
        <v>J</v>
      </c>
      <c r="F1271" s="189" t="str">
        <f ca="1">IFERROR(__xludf.DUMMYFUNCTION("""COMPUTED_VALUE"""),"I")</f>
        <v>I</v>
      </c>
      <c r="G1271" s="189">
        <f ca="1">IFERROR(__xludf.DUMMYFUNCTION("""COMPUTED_VALUE"""),1)</f>
        <v>1</v>
      </c>
      <c r="H1271" s="196"/>
      <c r="I1271" s="196"/>
      <c r="J1271" s="196"/>
      <c r="K1271" s="196"/>
      <c r="L1271" s="196" t="str">
        <v/>
      </c>
      <c r="M1271" s="196"/>
    </row>
    <row r="1272" spans="1:13" ht="14.4" x14ac:dyDescent="0.3">
      <c r="A1272" s="189" t="str">
        <f ca="1">IFERROR(__xludf.DUMMYFUNCTION("""COMPUTED_VALUE"""),"O")</f>
        <v>O</v>
      </c>
      <c r="B1272" s="195" t="str">
        <f ca="1">IFERROR(__xludf.DUMMYFUNCTION("""COMPUTED_VALUE"""),"Ren Newton")</f>
        <v>Ren Newton</v>
      </c>
      <c r="C1272" s="189">
        <f ca="1">IFERROR(__xludf.DUMMYFUNCTION("""COMPUTED_VALUE"""),12)</f>
        <v>12</v>
      </c>
      <c r="D1272" s="189" t="str">
        <f ca="1">IFERROR(__xludf.DUMMYFUNCTION("""COMPUTED_VALUE"""),"B")</f>
        <v>B</v>
      </c>
      <c r="E1272" s="189" t="str">
        <f ca="1">IFERROR(__xludf.DUMMYFUNCTION("""COMPUTED_VALUE"""),"J")</f>
        <v>J</v>
      </c>
      <c r="F1272" s="189" t="str">
        <f ca="1">IFERROR(__xludf.DUMMYFUNCTION("""COMPUTED_VALUE"""),"I")</f>
        <v>I</v>
      </c>
      <c r="G1272" s="189">
        <f ca="1">IFERROR(__xludf.DUMMYFUNCTION("""COMPUTED_VALUE"""),1)</f>
        <v>1</v>
      </c>
      <c r="H1272" s="196"/>
      <c r="I1272" s="196"/>
      <c r="J1272" s="196"/>
      <c r="K1272" s="196"/>
      <c r="L1272" s="196" t="str">
        <v/>
      </c>
      <c r="M1272" s="196"/>
    </row>
    <row r="1273" spans="1:13" ht="14.4" x14ac:dyDescent="0.3">
      <c r="A1273" s="189" t="str">
        <f ca="1">IFERROR(__xludf.DUMMYFUNCTION("""COMPUTED_VALUE"""),"O")</f>
        <v>O</v>
      </c>
      <c r="B1273" s="195" t="str">
        <f ca="1">IFERROR(__xludf.DUMMYFUNCTION("""COMPUTED_VALUE"""),"Amelia Buczek")</f>
        <v>Amelia Buczek</v>
      </c>
      <c r="C1273" s="189">
        <f ca="1">IFERROR(__xludf.DUMMYFUNCTION("""COMPUTED_VALUE"""),15)</f>
        <v>15</v>
      </c>
      <c r="D1273" s="189" t="str">
        <f ca="1">IFERROR(__xludf.DUMMYFUNCTION("""COMPUTED_VALUE"""),"G")</f>
        <v>G</v>
      </c>
      <c r="E1273" s="189" t="str">
        <f ca="1">IFERROR(__xludf.DUMMYFUNCTION("""COMPUTED_VALUE"""),"S")</f>
        <v>S</v>
      </c>
      <c r="F1273" s="189" t="str">
        <f ca="1">IFERROR(__xludf.DUMMYFUNCTION("""COMPUTED_VALUE"""),"S")</f>
        <v>S</v>
      </c>
      <c r="G1273" s="189">
        <f ca="1">IFERROR(__xludf.DUMMYFUNCTION("""COMPUTED_VALUE"""),1)</f>
        <v>1</v>
      </c>
      <c r="H1273" s="196" t="s">
        <v>534</v>
      </c>
      <c r="I1273" s="196"/>
      <c r="J1273" s="196" t="s">
        <v>29</v>
      </c>
      <c r="K1273" s="196"/>
      <c r="L1273" s="196" t="str">
        <v xml:space="preserve"> 127.50</v>
      </c>
      <c r="M1273" s="196"/>
    </row>
    <row r="1274" spans="1:13" ht="14.4" x14ac:dyDescent="0.3">
      <c r="A1274" s="189" t="str">
        <f ca="1">IFERROR(__xludf.DUMMYFUNCTION("""COMPUTED_VALUE"""),"O")</f>
        <v>O</v>
      </c>
      <c r="B1274" s="195" t="str">
        <f ca="1">IFERROR(__xludf.DUMMYFUNCTION("""COMPUTED_VALUE"""),"Georgi Malko")</f>
        <v>Georgi Malko</v>
      </c>
      <c r="C1274" s="189">
        <f ca="1">IFERROR(__xludf.DUMMYFUNCTION("""COMPUTED_VALUE"""),15)</f>
        <v>15</v>
      </c>
      <c r="D1274" s="189" t="str">
        <f ca="1">IFERROR(__xludf.DUMMYFUNCTION("""COMPUTED_VALUE"""),"G")</f>
        <v>G</v>
      </c>
      <c r="E1274" s="189" t="str">
        <f ca="1">IFERROR(__xludf.DUMMYFUNCTION("""COMPUTED_VALUE"""),"S")</f>
        <v>S</v>
      </c>
      <c r="F1274" s="189" t="str">
        <f ca="1">IFERROR(__xludf.DUMMYFUNCTION("""COMPUTED_VALUE"""),"S")</f>
        <v>S</v>
      </c>
      <c r="G1274" s="189">
        <f ca="1">IFERROR(__xludf.DUMMYFUNCTION("""COMPUTED_VALUE"""),1)</f>
        <v>1</v>
      </c>
      <c r="H1274" s="196" t="s">
        <v>535</v>
      </c>
      <c r="I1274" s="196"/>
      <c r="J1274" s="196" t="s">
        <v>29</v>
      </c>
      <c r="K1274" s="196"/>
      <c r="L1274" s="196" t="str">
        <v xml:space="preserve"> 108.40</v>
      </c>
      <c r="M1274" s="196"/>
    </row>
    <row r="1275" spans="1:13" ht="14.4" x14ac:dyDescent="0.3">
      <c r="A1275" s="189" t="str">
        <f ca="1">IFERROR(__xludf.DUMMYFUNCTION("""COMPUTED_VALUE"""),"O")</f>
        <v>O</v>
      </c>
      <c r="B1275" s="195" t="str">
        <f ca="1">IFERROR(__xludf.DUMMYFUNCTION("""COMPUTED_VALUE"""),"Michayla Eisenberg")</f>
        <v>Michayla Eisenberg</v>
      </c>
      <c r="C1275" s="189">
        <f ca="1">IFERROR(__xludf.DUMMYFUNCTION("""COMPUTED_VALUE"""),17)</f>
        <v>17</v>
      </c>
      <c r="D1275" s="189" t="str">
        <f ca="1">IFERROR(__xludf.DUMMYFUNCTION("""COMPUTED_VALUE"""),"G")</f>
        <v>G</v>
      </c>
      <c r="E1275" s="189" t="str">
        <f ca="1">IFERROR(__xludf.DUMMYFUNCTION("""COMPUTED_VALUE"""),"S")</f>
        <v>S</v>
      </c>
      <c r="F1275" s="189" t="str">
        <f ca="1">IFERROR(__xludf.DUMMYFUNCTION("""COMPUTED_VALUE"""),"S")</f>
        <v>S</v>
      </c>
      <c r="G1275" s="189">
        <f ca="1">IFERROR(__xludf.DUMMYFUNCTION("""COMPUTED_VALUE"""),1)</f>
        <v>1</v>
      </c>
      <c r="H1275" s="196" t="s">
        <v>536</v>
      </c>
      <c r="I1275" s="196"/>
      <c r="J1275" s="196" t="s">
        <v>29</v>
      </c>
      <c r="K1275" s="196"/>
      <c r="L1275" s="196" t="str">
        <v xml:space="preserve"> 249.00</v>
      </c>
      <c r="M1275" s="196"/>
    </row>
    <row r="1276" spans="1:13" ht="14.4" x14ac:dyDescent="0.3">
      <c r="A1276" s="189" t="str">
        <f ca="1">IFERROR(__xludf.DUMMYFUNCTION("""COMPUTED_VALUE"""),"O")</f>
        <v>O</v>
      </c>
      <c r="B1276" s="195" t="str">
        <f ca="1">IFERROR(__xludf.DUMMYFUNCTION("""COMPUTED_VALUE"""),"Sophie Deegan")</f>
        <v>Sophie Deegan</v>
      </c>
      <c r="C1276" s="189">
        <f ca="1">IFERROR(__xludf.DUMMYFUNCTION("""COMPUTED_VALUE"""),16)</f>
        <v>16</v>
      </c>
      <c r="D1276" s="189" t="str">
        <f ca="1">IFERROR(__xludf.DUMMYFUNCTION("""COMPUTED_VALUE"""),"G")</f>
        <v>G</v>
      </c>
      <c r="E1276" s="189" t="str">
        <f ca="1">IFERROR(__xludf.DUMMYFUNCTION("""COMPUTED_VALUE"""),"S")</f>
        <v>S</v>
      </c>
      <c r="F1276" s="189" t="str">
        <f ca="1">IFERROR(__xludf.DUMMYFUNCTION("""COMPUTED_VALUE"""),"S")</f>
        <v>S</v>
      </c>
      <c r="G1276" s="189">
        <f ca="1">IFERROR(__xludf.DUMMYFUNCTION("""COMPUTED_VALUE"""),1)</f>
        <v>1</v>
      </c>
      <c r="H1276" s="196" t="s">
        <v>537</v>
      </c>
      <c r="I1276" s="196"/>
      <c r="J1276" s="196" t="s">
        <v>29</v>
      </c>
      <c r="K1276" s="196"/>
      <c r="L1276" s="196" t="str">
        <v xml:space="preserve"> 158.85</v>
      </c>
      <c r="M1276" s="196"/>
    </row>
    <row r="1277" spans="1:13" ht="14.4" x14ac:dyDescent="0.3">
      <c r="A1277" s="189" t="str">
        <f ca="1">IFERROR(__xludf.DUMMYFUNCTION("""COMPUTED_VALUE"""),"O")</f>
        <v>O</v>
      </c>
      <c r="B1277" s="195" t="str">
        <f ca="1">IFERROR(__xludf.DUMMYFUNCTION("""COMPUTED_VALUE"""),"Stella Barclay")</f>
        <v>Stella Barclay</v>
      </c>
      <c r="C1277" s="189">
        <f ca="1">IFERROR(__xludf.DUMMYFUNCTION("""COMPUTED_VALUE"""),15)</f>
        <v>15</v>
      </c>
      <c r="D1277" s="189" t="str">
        <f ca="1">IFERROR(__xludf.DUMMYFUNCTION("""COMPUTED_VALUE"""),"G")</f>
        <v>G</v>
      </c>
      <c r="E1277" s="189" t="str">
        <f ca="1">IFERROR(__xludf.DUMMYFUNCTION("""COMPUTED_VALUE"""),"S")</f>
        <v>S</v>
      </c>
      <c r="F1277" s="189" t="str">
        <f ca="1">IFERROR(__xludf.DUMMYFUNCTION("""COMPUTED_VALUE"""),"S")</f>
        <v>S</v>
      </c>
      <c r="G1277" s="189">
        <f ca="1">IFERROR(__xludf.DUMMYFUNCTION("""COMPUTED_VALUE"""),1)</f>
        <v>1</v>
      </c>
      <c r="H1277" s="196" t="s">
        <v>538</v>
      </c>
      <c r="I1277" s="196"/>
      <c r="J1277" s="196" t="s">
        <v>29</v>
      </c>
      <c r="K1277" s="196"/>
      <c r="L1277" s="196" t="str">
        <v xml:space="preserve"> 183.85</v>
      </c>
      <c r="M1277" s="196"/>
    </row>
    <row r="1278" spans="1:13" ht="14.4" x14ac:dyDescent="0.3">
      <c r="A1278" s="189" t="str">
        <f ca="1">IFERROR(__xludf.DUMMYFUNCTION("""COMPUTED_VALUE"""),"O")</f>
        <v>O</v>
      </c>
      <c r="B1278" s="195" t="str">
        <f ca="1">IFERROR(__xludf.DUMMYFUNCTION("""COMPUTED_VALUE"""),"Ben Keppler")</f>
        <v>Ben Keppler</v>
      </c>
      <c r="C1278" s="189">
        <f ca="1">IFERROR(__xludf.DUMMYFUNCTION("""COMPUTED_VALUE"""),15)</f>
        <v>15</v>
      </c>
      <c r="D1278" s="189" t="str">
        <f ca="1">IFERROR(__xludf.DUMMYFUNCTION("""COMPUTED_VALUE"""),"B")</f>
        <v>B</v>
      </c>
      <c r="E1278" s="189" t="str">
        <f ca="1">IFERROR(__xludf.DUMMYFUNCTION("""COMPUTED_VALUE"""),"S")</f>
        <v>S</v>
      </c>
      <c r="F1278" s="189" t="str">
        <f ca="1">IFERROR(__xludf.DUMMYFUNCTION("""COMPUTED_VALUE"""),"S")</f>
        <v>S</v>
      </c>
      <c r="G1278" s="189">
        <f ca="1">IFERROR(__xludf.DUMMYFUNCTION("""COMPUTED_VALUE"""),1)</f>
        <v>1</v>
      </c>
      <c r="H1278" s="196"/>
      <c r="I1278" s="196"/>
      <c r="J1278" s="196"/>
      <c r="K1278" s="196"/>
      <c r="L1278" s="196" t="str">
        <v/>
      </c>
      <c r="M1278" s="196"/>
    </row>
    <row r="1279" spans="1:13" ht="14.4" x14ac:dyDescent="0.3">
      <c r="A1279" s="189" t="str">
        <f ca="1">IFERROR(__xludf.DUMMYFUNCTION("""COMPUTED_VALUE"""),"O")</f>
        <v>O</v>
      </c>
      <c r="B1279" s="195" t="str">
        <f ca="1">IFERROR(__xludf.DUMMYFUNCTION("""COMPUTED_VALUE"""),"Jacob Bowser")</f>
        <v>Jacob Bowser</v>
      </c>
      <c r="C1279" s="189">
        <f ca="1">IFERROR(__xludf.DUMMYFUNCTION("""COMPUTED_VALUE"""),16)</f>
        <v>16</v>
      </c>
      <c r="D1279" s="189" t="str">
        <f ca="1">IFERROR(__xludf.DUMMYFUNCTION("""COMPUTED_VALUE"""),"B")</f>
        <v>B</v>
      </c>
      <c r="E1279" s="189" t="str">
        <f ca="1">IFERROR(__xludf.DUMMYFUNCTION("""COMPUTED_VALUE"""),"S")</f>
        <v>S</v>
      </c>
      <c r="F1279" s="189" t="str">
        <f ca="1">IFERROR(__xludf.DUMMYFUNCTION("""COMPUTED_VALUE"""),"S")</f>
        <v>S</v>
      </c>
      <c r="G1279" s="189">
        <f ca="1">IFERROR(__xludf.DUMMYFUNCTION("""COMPUTED_VALUE"""),1)</f>
        <v>1</v>
      </c>
      <c r="H1279" s="196"/>
      <c r="I1279" s="196"/>
      <c r="J1279" s="196"/>
      <c r="K1279" s="196"/>
      <c r="L1279" s="196" t="str">
        <v/>
      </c>
      <c r="M1279" s="196"/>
    </row>
    <row r="1280" spans="1:13" ht="14.4" x14ac:dyDescent="0.3">
      <c r="A1280" s="189" t="str">
        <f ca="1">IFERROR(__xludf.DUMMYFUNCTION("""COMPUTED_VALUE"""),"O")</f>
        <v>O</v>
      </c>
      <c r="B1280" s="195" t="str">
        <f ca="1">IFERROR(__xludf.DUMMYFUNCTION("""COMPUTED_VALUE"""),"Nate Cohen")</f>
        <v>Nate Cohen</v>
      </c>
      <c r="C1280" s="189">
        <f ca="1">IFERROR(__xludf.DUMMYFUNCTION("""COMPUTED_VALUE"""),17)</f>
        <v>17</v>
      </c>
      <c r="D1280" s="189" t="str">
        <f ca="1">IFERROR(__xludf.DUMMYFUNCTION("""COMPUTED_VALUE"""),"B")</f>
        <v>B</v>
      </c>
      <c r="E1280" s="189" t="str">
        <f ca="1">IFERROR(__xludf.DUMMYFUNCTION("""COMPUTED_VALUE"""),"S")</f>
        <v>S</v>
      </c>
      <c r="F1280" s="189" t="str">
        <f ca="1">IFERROR(__xludf.DUMMYFUNCTION("""COMPUTED_VALUE"""),"S")</f>
        <v>S</v>
      </c>
      <c r="G1280" s="189">
        <f ca="1">IFERROR(__xludf.DUMMYFUNCTION("""COMPUTED_VALUE"""),1)</f>
        <v>1</v>
      </c>
      <c r="H1280" s="196" t="s">
        <v>539</v>
      </c>
      <c r="I1280" s="196"/>
      <c r="J1280" s="196" t="s">
        <v>29</v>
      </c>
      <c r="K1280" s="196"/>
      <c r="L1280" s="196" t="str">
        <v xml:space="preserve"> 176.85</v>
      </c>
      <c r="M1280" s="196"/>
    </row>
    <row r="1281" spans="1:13" ht="14.4" x14ac:dyDescent="0.3">
      <c r="A1281" s="189" t="str">
        <f ca="1">IFERROR(__xludf.DUMMYFUNCTION("""COMPUTED_VALUE"""),"O")</f>
        <v>O</v>
      </c>
      <c r="B1281" s="195" t="str">
        <f ca="1">IFERROR(__xludf.DUMMYFUNCTION("""COMPUTED_VALUE"""),"Nick Tressler")</f>
        <v>Nick Tressler</v>
      </c>
      <c r="C1281" s="189">
        <f ca="1">IFERROR(__xludf.DUMMYFUNCTION("""COMPUTED_VALUE"""),15)</f>
        <v>15</v>
      </c>
      <c r="D1281" s="189" t="str">
        <f ca="1">IFERROR(__xludf.DUMMYFUNCTION("""COMPUTED_VALUE"""),"B")</f>
        <v>B</v>
      </c>
      <c r="E1281" s="189" t="str">
        <f ca="1">IFERROR(__xludf.DUMMYFUNCTION("""COMPUTED_VALUE"""),"S")</f>
        <v>S</v>
      </c>
      <c r="F1281" s="189" t="str">
        <f ca="1">IFERROR(__xludf.DUMMYFUNCTION("""COMPUTED_VALUE"""),"S")</f>
        <v>S</v>
      </c>
      <c r="G1281" s="189">
        <f ca="1">IFERROR(__xludf.DUMMYFUNCTION("""COMPUTED_VALUE"""),1)</f>
        <v>1</v>
      </c>
      <c r="H1281" s="196" t="s">
        <v>540</v>
      </c>
      <c r="I1281" s="196"/>
      <c r="J1281" s="196" t="s">
        <v>29</v>
      </c>
      <c r="K1281" s="196"/>
      <c r="L1281" s="196" t="str">
        <v xml:space="preserve"> 141.85</v>
      </c>
      <c r="M1281" s="196"/>
    </row>
    <row r="1282" spans="1:13" ht="14.4" x14ac:dyDescent="0.3">
      <c r="A1282" s="189" t="str">
        <f ca="1">IFERROR(__xludf.DUMMYFUNCTION("""COMPUTED_VALUE"""),"OAK")</f>
        <v>OAK</v>
      </c>
      <c r="B1282" s="195" t="str">
        <f ca="1">IFERROR(__xludf.DUMMYFUNCTION("""COMPUTED_VALUE"""),"Alice Henderson")</f>
        <v>Alice Henderson</v>
      </c>
      <c r="C1282" s="189">
        <f ca="1">IFERROR(__xludf.DUMMYFUNCTION("""COMPUTED_VALUE"""),7)</f>
        <v>7</v>
      </c>
      <c r="D1282" s="189" t="str">
        <f ca="1">IFERROR(__xludf.DUMMYFUNCTION("""COMPUTED_VALUE"""),"G")</f>
        <v>G</v>
      </c>
      <c r="E1282" s="189" t="str">
        <f ca="1">IFERROR(__xludf.DUMMYFUNCTION("""COMPUTED_VALUE"""),"F")</f>
        <v>F</v>
      </c>
      <c r="F1282" s="189" t="str">
        <f ca="1">IFERROR(__xludf.DUMMYFUNCTION("""COMPUTED_VALUE"""),"J")</f>
        <v>J</v>
      </c>
      <c r="G1282" s="189">
        <f ca="1">IFERROR(__xludf.DUMMYFUNCTION("""COMPUTED_VALUE"""),1)</f>
        <v>1</v>
      </c>
      <c r="H1282" s="196" t="s">
        <v>541</v>
      </c>
      <c r="I1282" s="196"/>
      <c r="J1282" s="196" t="s">
        <v>29</v>
      </c>
      <c r="K1282" s="196"/>
      <c r="L1282" s="196" t="str">
        <v xml:space="preserve"> 17.00</v>
      </c>
      <c r="M1282" s="196"/>
    </row>
    <row r="1283" spans="1:13" ht="14.4" x14ac:dyDescent="0.3">
      <c r="A1283" s="189" t="str">
        <f ca="1">IFERROR(__xludf.DUMMYFUNCTION("""COMPUTED_VALUE"""),"OAK")</f>
        <v>OAK</v>
      </c>
      <c r="B1283" s="195" t="str">
        <f ca="1">IFERROR(__xludf.DUMMYFUNCTION("""COMPUTED_VALUE"""),"Caitlin Martin")</f>
        <v>Caitlin Martin</v>
      </c>
      <c r="C1283" s="189">
        <f ca="1">IFERROR(__xludf.DUMMYFUNCTION("""COMPUTED_VALUE"""),10)</f>
        <v>10</v>
      </c>
      <c r="D1283" s="189" t="str">
        <f ca="1">IFERROR(__xludf.DUMMYFUNCTION("""COMPUTED_VALUE"""),"G")</f>
        <v>G</v>
      </c>
      <c r="E1283" s="189" t="str">
        <f ca="1">IFERROR(__xludf.DUMMYFUNCTION("""COMPUTED_VALUE"""),"F")</f>
        <v>F</v>
      </c>
      <c r="F1283" s="189" t="str">
        <f ca="1">IFERROR(__xludf.DUMMYFUNCTION("""COMPUTED_VALUE"""),"J")</f>
        <v>J</v>
      </c>
      <c r="G1283" s="189">
        <f ca="1">IFERROR(__xludf.DUMMYFUNCTION("""COMPUTED_VALUE"""),1)</f>
        <v>1</v>
      </c>
      <c r="H1283" s="196" t="s">
        <v>542</v>
      </c>
      <c r="I1283" s="196"/>
      <c r="J1283" s="196" t="s">
        <v>29</v>
      </c>
      <c r="K1283" s="196"/>
      <c r="L1283" s="196" t="str">
        <v xml:space="preserve"> 46.75</v>
      </c>
      <c r="M1283" s="196"/>
    </row>
    <row r="1284" spans="1:13" ht="14.4" x14ac:dyDescent="0.3">
      <c r="A1284" s="189" t="str">
        <f ca="1">IFERROR(__xludf.DUMMYFUNCTION("""COMPUTED_VALUE"""),"OAK")</f>
        <v>OAK</v>
      </c>
      <c r="B1284" s="195" t="str">
        <f ca="1">IFERROR(__xludf.DUMMYFUNCTION("""COMPUTED_VALUE"""),"Camilla Warren")</f>
        <v>Camilla Warren</v>
      </c>
      <c r="C1284" s="189">
        <f ca="1">IFERROR(__xludf.DUMMYFUNCTION("""COMPUTED_VALUE"""),7)</f>
        <v>7</v>
      </c>
      <c r="D1284" s="189" t="str">
        <f ca="1">IFERROR(__xludf.DUMMYFUNCTION("""COMPUTED_VALUE"""),"G")</f>
        <v>G</v>
      </c>
      <c r="E1284" s="189" t="str">
        <f ca="1">IFERROR(__xludf.DUMMYFUNCTION("""COMPUTED_VALUE"""),"F")</f>
        <v>F</v>
      </c>
      <c r="F1284" s="189" t="str">
        <f ca="1">IFERROR(__xludf.DUMMYFUNCTION("""COMPUTED_VALUE"""),"J")</f>
        <v>J</v>
      </c>
      <c r="G1284" s="189">
        <f ca="1">IFERROR(__xludf.DUMMYFUNCTION("""COMPUTED_VALUE"""),1)</f>
        <v>1</v>
      </c>
      <c r="H1284" s="196"/>
      <c r="I1284" s="196"/>
      <c r="J1284" s="196"/>
      <c r="K1284" s="196"/>
      <c r="L1284" s="196" t="str">
        <v/>
      </c>
      <c r="M1284" s="196"/>
    </row>
    <row r="1285" spans="1:13" ht="14.4" x14ac:dyDescent="0.3">
      <c r="A1285" s="189" t="str">
        <f ca="1">IFERROR(__xludf.DUMMYFUNCTION("""COMPUTED_VALUE"""),"OAK")</f>
        <v>OAK</v>
      </c>
      <c r="B1285" s="195" t="str">
        <f ca="1">IFERROR(__xludf.DUMMYFUNCTION("""COMPUTED_VALUE"""),"CeCe St. Jacques")</f>
        <v>CeCe St. Jacques</v>
      </c>
      <c r="C1285" s="189">
        <f ca="1">IFERROR(__xludf.DUMMYFUNCTION("""COMPUTED_VALUE"""),8)</f>
        <v>8</v>
      </c>
      <c r="D1285" s="189" t="str">
        <f ca="1">IFERROR(__xludf.DUMMYFUNCTION("""COMPUTED_VALUE"""),"G")</f>
        <v>G</v>
      </c>
      <c r="E1285" s="189" t="str">
        <f ca="1">IFERROR(__xludf.DUMMYFUNCTION("""COMPUTED_VALUE"""),"F")</f>
        <v>F</v>
      </c>
      <c r="F1285" s="189" t="str">
        <f ca="1">IFERROR(__xludf.DUMMYFUNCTION("""COMPUTED_VALUE"""),"J")</f>
        <v>J</v>
      </c>
      <c r="G1285" s="189">
        <f ca="1">IFERROR(__xludf.DUMMYFUNCTION("""COMPUTED_VALUE"""),1)</f>
        <v>1</v>
      </c>
      <c r="H1285" s="196"/>
      <c r="I1285" s="196"/>
      <c r="J1285" s="196"/>
      <c r="K1285" s="196"/>
      <c r="L1285" s="196" t="str">
        <v/>
      </c>
      <c r="M1285" s="196"/>
    </row>
    <row r="1286" spans="1:13" ht="14.4" x14ac:dyDescent="0.3">
      <c r="A1286" s="189" t="str">
        <f ca="1">IFERROR(__xludf.DUMMYFUNCTION("""COMPUTED_VALUE"""),"OAK")</f>
        <v>OAK</v>
      </c>
      <c r="B1286" s="195" t="str">
        <f ca="1">IFERROR(__xludf.DUMMYFUNCTION("""COMPUTED_VALUE"""),"Chloe Sanglier")</f>
        <v>Chloe Sanglier</v>
      </c>
      <c r="C1286" s="189">
        <f ca="1">IFERROR(__xludf.DUMMYFUNCTION("""COMPUTED_VALUE"""),9)</f>
        <v>9</v>
      </c>
      <c r="D1286" s="189" t="str">
        <f ca="1">IFERROR(__xludf.DUMMYFUNCTION("""COMPUTED_VALUE"""),"G")</f>
        <v>G</v>
      </c>
      <c r="E1286" s="189" t="str">
        <f ca="1">IFERROR(__xludf.DUMMYFUNCTION("""COMPUTED_VALUE"""),"F")</f>
        <v>F</v>
      </c>
      <c r="F1286" s="189" t="str">
        <f ca="1">IFERROR(__xludf.DUMMYFUNCTION("""COMPUTED_VALUE"""),"J")</f>
        <v>J</v>
      </c>
      <c r="G1286" s="189">
        <f ca="1">IFERROR(__xludf.DUMMYFUNCTION("""COMPUTED_VALUE"""),1)</f>
        <v>1</v>
      </c>
      <c r="H1286" s="196" t="s">
        <v>543</v>
      </c>
      <c r="I1286" s="196"/>
      <c r="J1286" s="196" t="s">
        <v>29</v>
      </c>
      <c r="K1286" s="196"/>
      <c r="L1286" s="196" t="str">
        <v xml:space="preserve"> 57.60</v>
      </c>
      <c r="M1286" s="196"/>
    </row>
    <row r="1287" spans="1:13" ht="14.4" x14ac:dyDescent="0.3">
      <c r="A1287" s="189" t="str">
        <f ca="1">IFERROR(__xludf.DUMMYFUNCTION("""COMPUTED_VALUE"""),"OAK")</f>
        <v>OAK</v>
      </c>
      <c r="B1287" s="195" t="str">
        <f ca="1">IFERROR(__xludf.DUMMYFUNCTION("""COMPUTED_VALUE"""),"Eloise Berthe")</f>
        <v>Eloise Berthe</v>
      </c>
      <c r="C1287" s="189">
        <f ca="1">IFERROR(__xludf.DUMMYFUNCTION("""COMPUTED_VALUE"""),7)</f>
        <v>7</v>
      </c>
      <c r="D1287" s="189" t="str">
        <f ca="1">IFERROR(__xludf.DUMMYFUNCTION("""COMPUTED_VALUE"""),"G")</f>
        <v>G</v>
      </c>
      <c r="E1287" s="189" t="str">
        <f ca="1">IFERROR(__xludf.DUMMYFUNCTION("""COMPUTED_VALUE"""),"F")</f>
        <v>F</v>
      </c>
      <c r="F1287" s="189" t="str">
        <f ca="1">IFERROR(__xludf.DUMMYFUNCTION("""COMPUTED_VALUE"""),"J")</f>
        <v>J</v>
      </c>
      <c r="G1287" s="189">
        <f ca="1">IFERROR(__xludf.DUMMYFUNCTION("""COMPUTED_VALUE"""),1)</f>
        <v>1</v>
      </c>
      <c r="H1287" s="196" t="s">
        <v>544</v>
      </c>
      <c r="I1287" s="196"/>
      <c r="J1287" s="196" t="s">
        <v>29</v>
      </c>
      <c r="K1287" s="196"/>
      <c r="L1287" s="196" t="str">
        <v xml:space="preserve"> 21.25</v>
      </c>
      <c r="M1287" s="196"/>
    </row>
    <row r="1288" spans="1:13" ht="14.4" x14ac:dyDescent="0.3">
      <c r="A1288" s="189" t="str">
        <f ca="1">IFERROR(__xludf.DUMMYFUNCTION("""COMPUTED_VALUE"""),"OAK")</f>
        <v>OAK</v>
      </c>
      <c r="B1288" s="195" t="str">
        <f ca="1">IFERROR(__xludf.DUMMYFUNCTION("""COMPUTED_VALUE"""),"Frankie Wilson")</f>
        <v>Frankie Wilson</v>
      </c>
      <c r="C1288" s="189">
        <f ca="1">IFERROR(__xludf.DUMMYFUNCTION("""COMPUTED_VALUE"""),6)</f>
        <v>6</v>
      </c>
      <c r="D1288" s="189" t="str">
        <f ca="1">IFERROR(__xludf.DUMMYFUNCTION("""COMPUTED_VALUE"""),"G")</f>
        <v>G</v>
      </c>
      <c r="E1288" s="189" t="str">
        <f ca="1">IFERROR(__xludf.DUMMYFUNCTION("""COMPUTED_VALUE"""),"F")</f>
        <v>F</v>
      </c>
      <c r="F1288" s="189" t="str">
        <f ca="1">IFERROR(__xludf.DUMMYFUNCTION("""COMPUTED_VALUE"""),"J")</f>
        <v>J</v>
      </c>
      <c r="G1288" s="189">
        <f ca="1">IFERROR(__xludf.DUMMYFUNCTION("""COMPUTED_VALUE"""),1)</f>
        <v>1</v>
      </c>
      <c r="H1288" s="196"/>
      <c r="I1288" s="196"/>
      <c r="J1288" s="196"/>
      <c r="K1288" s="196"/>
      <c r="L1288" s="196" t="str">
        <v/>
      </c>
      <c r="M1288" s="196"/>
    </row>
    <row r="1289" spans="1:13" ht="14.4" x14ac:dyDescent="0.3">
      <c r="A1289" s="189" t="str">
        <f ca="1">IFERROR(__xludf.DUMMYFUNCTION("""COMPUTED_VALUE"""),"OAK")</f>
        <v>OAK</v>
      </c>
      <c r="B1289" s="195" t="str">
        <f ca="1">IFERROR(__xludf.DUMMYFUNCTION("""COMPUTED_VALUE"""),"Hannah Berthe")</f>
        <v>Hannah Berthe</v>
      </c>
      <c r="C1289" s="189">
        <f ca="1">IFERROR(__xludf.DUMMYFUNCTION("""COMPUTED_VALUE"""),9)</f>
        <v>9</v>
      </c>
      <c r="D1289" s="189" t="str">
        <f ca="1">IFERROR(__xludf.DUMMYFUNCTION("""COMPUTED_VALUE"""),"G")</f>
        <v>G</v>
      </c>
      <c r="E1289" s="189" t="str">
        <f ca="1">IFERROR(__xludf.DUMMYFUNCTION("""COMPUTED_VALUE"""),"F")</f>
        <v>F</v>
      </c>
      <c r="F1289" s="189" t="str">
        <f ca="1">IFERROR(__xludf.DUMMYFUNCTION("""COMPUTED_VALUE"""),"J")</f>
        <v>J</v>
      </c>
      <c r="G1289" s="189">
        <f ca="1">IFERROR(__xludf.DUMMYFUNCTION("""COMPUTED_VALUE"""),1)</f>
        <v>1</v>
      </c>
      <c r="H1289" s="196" t="s">
        <v>545</v>
      </c>
      <c r="I1289" s="196"/>
      <c r="J1289" s="196" t="s">
        <v>29</v>
      </c>
      <c r="K1289" s="196"/>
      <c r="L1289" s="196" t="str">
        <v xml:space="preserve"> 36.85</v>
      </c>
      <c r="M1289" s="196"/>
    </row>
    <row r="1290" spans="1:13" ht="14.4" x14ac:dyDescent="0.3">
      <c r="A1290" s="189" t="str">
        <f ca="1">IFERROR(__xludf.DUMMYFUNCTION("""COMPUTED_VALUE"""),"OAK")</f>
        <v>OAK</v>
      </c>
      <c r="B1290" s="195" t="str">
        <f ca="1">IFERROR(__xludf.DUMMYFUNCTION("""COMPUTED_VALUE"""),"Katherine Emerick")</f>
        <v>Katherine Emerick</v>
      </c>
      <c r="C1290" s="189">
        <f ca="1">IFERROR(__xludf.DUMMYFUNCTION("""COMPUTED_VALUE"""),10)</f>
        <v>10</v>
      </c>
      <c r="D1290" s="189" t="str">
        <f ca="1">IFERROR(__xludf.DUMMYFUNCTION("""COMPUTED_VALUE"""),"G")</f>
        <v>G</v>
      </c>
      <c r="E1290" s="189" t="str">
        <f ca="1">IFERROR(__xludf.DUMMYFUNCTION("""COMPUTED_VALUE"""),"F")</f>
        <v>F</v>
      </c>
      <c r="F1290" s="189" t="str">
        <f ca="1">IFERROR(__xludf.DUMMYFUNCTION("""COMPUTED_VALUE"""),"J")</f>
        <v>J</v>
      </c>
      <c r="G1290" s="189">
        <f ca="1">IFERROR(__xludf.DUMMYFUNCTION("""COMPUTED_VALUE"""),1)</f>
        <v>1</v>
      </c>
      <c r="H1290" s="196" t="s">
        <v>546</v>
      </c>
      <c r="I1290" s="196"/>
      <c r="J1290" s="196" t="s">
        <v>29</v>
      </c>
      <c r="K1290" s="196"/>
      <c r="L1290" s="196" t="str">
        <v xml:space="preserve"> 49.25</v>
      </c>
      <c r="M1290" s="196"/>
    </row>
    <row r="1291" spans="1:13" ht="14.4" x14ac:dyDescent="0.3">
      <c r="A1291" s="189" t="str">
        <f ca="1">IFERROR(__xludf.DUMMYFUNCTION("""COMPUTED_VALUE"""),"OAK")</f>
        <v>OAK</v>
      </c>
      <c r="B1291" s="195" t="str">
        <f ca="1">IFERROR(__xludf.DUMMYFUNCTION("""COMPUTED_VALUE"""),"Maddie Dennison-Gibby")</f>
        <v>Maddie Dennison-Gibby</v>
      </c>
      <c r="C1291" s="189">
        <f ca="1">IFERROR(__xludf.DUMMYFUNCTION("""COMPUTED_VALUE"""),8)</f>
        <v>8</v>
      </c>
      <c r="D1291" s="189" t="str">
        <f ca="1">IFERROR(__xludf.DUMMYFUNCTION("""COMPUTED_VALUE"""),"G")</f>
        <v>G</v>
      </c>
      <c r="E1291" s="189" t="str">
        <f ca="1">IFERROR(__xludf.DUMMYFUNCTION("""COMPUTED_VALUE"""),"F")</f>
        <v>F</v>
      </c>
      <c r="F1291" s="189" t="str">
        <f ca="1">IFERROR(__xludf.DUMMYFUNCTION("""COMPUTED_VALUE"""),"J")</f>
        <v>J</v>
      </c>
      <c r="G1291" s="189">
        <f ca="1">IFERROR(__xludf.DUMMYFUNCTION("""COMPUTED_VALUE"""),1)</f>
        <v>1</v>
      </c>
      <c r="H1291" s="196"/>
      <c r="I1291" s="196"/>
      <c r="J1291" s="196"/>
      <c r="K1291" s="196"/>
      <c r="L1291" s="196" t="str">
        <v/>
      </c>
      <c r="M1291" s="196"/>
    </row>
    <row r="1292" spans="1:13" ht="14.4" x14ac:dyDescent="0.3">
      <c r="A1292" s="189" t="str">
        <f ca="1">IFERROR(__xludf.DUMMYFUNCTION("""COMPUTED_VALUE"""),"OAK")</f>
        <v>OAK</v>
      </c>
      <c r="B1292" s="195" t="str">
        <f ca="1">IFERROR(__xludf.DUMMYFUNCTION("""COMPUTED_VALUE"""),"Quinn McManus")</f>
        <v>Quinn McManus</v>
      </c>
      <c r="C1292" s="189">
        <f ca="1">IFERROR(__xludf.DUMMYFUNCTION("""COMPUTED_VALUE"""),9)</f>
        <v>9</v>
      </c>
      <c r="D1292" s="189" t="str">
        <f ca="1">IFERROR(__xludf.DUMMYFUNCTION("""COMPUTED_VALUE"""),"G")</f>
        <v>G</v>
      </c>
      <c r="E1292" s="189" t="str">
        <f ca="1">IFERROR(__xludf.DUMMYFUNCTION("""COMPUTED_VALUE"""),"F")</f>
        <v>F</v>
      </c>
      <c r="F1292" s="189" t="str">
        <f ca="1">IFERROR(__xludf.DUMMYFUNCTION("""COMPUTED_VALUE"""),"J")</f>
        <v>J</v>
      </c>
      <c r="G1292" s="189">
        <f ca="1">IFERROR(__xludf.DUMMYFUNCTION("""COMPUTED_VALUE"""),1)</f>
        <v>1</v>
      </c>
      <c r="H1292" s="196" t="s">
        <v>547</v>
      </c>
      <c r="I1292" s="196"/>
      <c r="J1292" s="196" t="s">
        <v>64</v>
      </c>
      <c r="K1292" s="196"/>
      <c r="L1292" s="196" t="str">
        <v xml:space="preserve"> -76.70</v>
      </c>
      <c r="M1292" s="196"/>
    </row>
    <row r="1293" spans="1:13" ht="14.4" x14ac:dyDescent="0.3">
      <c r="A1293" s="189" t="str">
        <f ca="1">IFERROR(__xludf.DUMMYFUNCTION("""COMPUTED_VALUE"""),"OAK")</f>
        <v>OAK</v>
      </c>
      <c r="B1293" s="195" t="str">
        <f ca="1">IFERROR(__xludf.DUMMYFUNCTION("""COMPUTED_VALUE"""),"Sophia Blanco")</f>
        <v>Sophia Blanco</v>
      </c>
      <c r="C1293" s="189">
        <f ca="1">IFERROR(__xludf.DUMMYFUNCTION("""COMPUTED_VALUE"""),10)</f>
        <v>10</v>
      </c>
      <c r="D1293" s="189" t="str">
        <f ca="1">IFERROR(__xludf.DUMMYFUNCTION("""COMPUTED_VALUE"""),"G")</f>
        <v>G</v>
      </c>
      <c r="E1293" s="189" t="str">
        <f ca="1">IFERROR(__xludf.DUMMYFUNCTION("""COMPUTED_VALUE"""),"F")</f>
        <v>F</v>
      </c>
      <c r="F1293" s="189" t="str">
        <f ca="1">IFERROR(__xludf.DUMMYFUNCTION("""COMPUTED_VALUE"""),"J")</f>
        <v>J</v>
      </c>
      <c r="G1293" s="189">
        <f ca="1">IFERROR(__xludf.DUMMYFUNCTION("""COMPUTED_VALUE"""),1)</f>
        <v>1</v>
      </c>
      <c r="H1293" s="196" t="s">
        <v>548</v>
      </c>
      <c r="I1293" s="196"/>
      <c r="J1293" s="196" t="s">
        <v>29</v>
      </c>
      <c r="K1293" s="196"/>
      <c r="L1293" s="196" t="str">
        <v xml:space="preserve"> 77.10</v>
      </c>
      <c r="M1293" s="196"/>
    </row>
    <row r="1294" spans="1:13" ht="14.4" x14ac:dyDescent="0.3">
      <c r="A1294" s="189" t="str">
        <f ca="1">IFERROR(__xludf.DUMMYFUNCTION("""COMPUTED_VALUE"""),"OAK")</f>
        <v>OAK</v>
      </c>
      <c r="B1294" s="195" t="str">
        <f ca="1">IFERROR(__xludf.DUMMYFUNCTION("""COMPUTED_VALUE"""),"Brayden Lane")</f>
        <v>Brayden Lane</v>
      </c>
      <c r="C1294" s="189">
        <f ca="1">IFERROR(__xludf.DUMMYFUNCTION("""COMPUTED_VALUE"""),9)</f>
        <v>9</v>
      </c>
      <c r="D1294" s="189" t="str">
        <f ca="1">IFERROR(__xludf.DUMMYFUNCTION("""COMPUTED_VALUE"""),"B")</f>
        <v>B</v>
      </c>
      <c r="E1294" s="189" t="str">
        <f ca="1">IFERROR(__xludf.DUMMYFUNCTION("""COMPUTED_VALUE"""),"F")</f>
        <v>F</v>
      </c>
      <c r="F1294" s="189" t="str">
        <f ca="1">IFERROR(__xludf.DUMMYFUNCTION("""COMPUTED_VALUE"""),"J")</f>
        <v>J</v>
      </c>
      <c r="G1294" s="189">
        <f ca="1">IFERROR(__xludf.DUMMYFUNCTION("""COMPUTED_VALUE"""),1)</f>
        <v>1</v>
      </c>
      <c r="H1294" s="196" t="s">
        <v>180</v>
      </c>
      <c r="I1294" s="196"/>
      <c r="J1294" s="196" t="s">
        <v>64</v>
      </c>
      <c r="K1294" s="196"/>
      <c r="L1294" s="196" t="str">
        <v xml:space="preserve"> -49.45</v>
      </c>
      <c r="M1294" s="196"/>
    </row>
    <row r="1295" spans="1:13" ht="14.4" x14ac:dyDescent="0.3">
      <c r="A1295" s="189" t="str">
        <f ca="1">IFERROR(__xludf.DUMMYFUNCTION("""COMPUTED_VALUE"""),"OAK")</f>
        <v>OAK</v>
      </c>
      <c r="B1295" s="195" t="str">
        <f ca="1">IFERROR(__xludf.DUMMYFUNCTION("""COMPUTED_VALUE"""),"Breck Bowman")</f>
        <v>Breck Bowman</v>
      </c>
      <c r="C1295" s="189">
        <f ca="1">IFERROR(__xludf.DUMMYFUNCTION("""COMPUTED_VALUE"""),10)</f>
        <v>10</v>
      </c>
      <c r="D1295" s="189" t="str">
        <f ca="1">IFERROR(__xludf.DUMMYFUNCTION("""COMPUTED_VALUE"""),"B")</f>
        <v>B</v>
      </c>
      <c r="E1295" s="189" t="str">
        <f ca="1">IFERROR(__xludf.DUMMYFUNCTION("""COMPUTED_VALUE"""),"F")</f>
        <v>F</v>
      </c>
      <c r="F1295" s="189" t="str">
        <f ca="1">IFERROR(__xludf.DUMMYFUNCTION("""COMPUTED_VALUE"""),"J")</f>
        <v>J</v>
      </c>
      <c r="G1295" s="189">
        <f ca="1">IFERROR(__xludf.DUMMYFUNCTION("""COMPUTED_VALUE"""),1)</f>
        <v>1</v>
      </c>
      <c r="H1295" s="196"/>
      <c r="I1295" s="196"/>
      <c r="J1295" s="196"/>
      <c r="K1295" s="196"/>
      <c r="L1295" s="196" t="str">
        <v/>
      </c>
      <c r="M1295" s="196"/>
    </row>
    <row r="1296" spans="1:13" ht="14.4" x14ac:dyDescent="0.3">
      <c r="A1296" s="189" t="str">
        <f ca="1">IFERROR(__xludf.DUMMYFUNCTION("""COMPUTED_VALUE"""),"OAK")</f>
        <v>OAK</v>
      </c>
      <c r="B1296" s="195" t="str">
        <f ca="1">IFERROR(__xludf.DUMMYFUNCTION("""COMPUTED_VALUE"""),"Finn Bradley")</f>
        <v>Finn Bradley</v>
      </c>
      <c r="C1296" s="189">
        <f ca="1">IFERROR(__xludf.DUMMYFUNCTION("""COMPUTED_VALUE"""),10)</f>
        <v>10</v>
      </c>
      <c r="D1296" s="189" t="str">
        <f ca="1">IFERROR(__xludf.DUMMYFUNCTION("""COMPUTED_VALUE"""),"B")</f>
        <v>B</v>
      </c>
      <c r="E1296" s="189" t="str">
        <f ca="1">IFERROR(__xludf.DUMMYFUNCTION("""COMPUTED_VALUE"""),"F")</f>
        <v>F</v>
      </c>
      <c r="F1296" s="189" t="str">
        <f ca="1">IFERROR(__xludf.DUMMYFUNCTION("""COMPUTED_VALUE"""),"J")</f>
        <v>J</v>
      </c>
      <c r="G1296" s="189">
        <f ca="1">IFERROR(__xludf.DUMMYFUNCTION("""COMPUTED_VALUE"""),1)</f>
        <v>1</v>
      </c>
      <c r="H1296" s="196"/>
      <c r="I1296" s="196"/>
      <c r="J1296" s="196"/>
      <c r="K1296" s="196"/>
      <c r="L1296" s="196" t="str">
        <v/>
      </c>
      <c r="M1296" s="196"/>
    </row>
    <row r="1297" spans="1:13" ht="14.4" x14ac:dyDescent="0.3">
      <c r="A1297" s="189" t="str">
        <f ca="1">IFERROR(__xludf.DUMMYFUNCTION("""COMPUTED_VALUE"""),"OAK")</f>
        <v>OAK</v>
      </c>
      <c r="B1297" s="195" t="str">
        <f ca="1">IFERROR(__xludf.DUMMYFUNCTION("""COMPUTED_VALUE"""),"Gabe Wilson")</f>
        <v>Gabe Wilson</v>
      </c>
      <c r="C1297" s="189">
        <f ca="1">IFERROR(__xludf.DUMMYFUNCTION("""COMPUTED_VALUE"""),10)</f>
        <v>10</v>
      </c>
      <c r="D1297" s="189" t="str">
        <f ca="1">IFERROR(__xludf.DUMMYFUNCTION("""COMPUTED_VALUE"""),"B")</f>
        <v>B</v>
      </c>
      <c r="E1297" s="189" t="str">
        <f ca="1">IFERROR(__xludf.DUMMYFUNCTION("""COMPUTED_VALUE"""),"F")</f>
        <v>F</v>
      </c>
      <c r="F1297" s="189" t="str">
        <f ca="1">IFERROR(__xludf.DUMMYFUNCTION("""COMPUTED_VALUE"""),"J")</f>
        <v>J</v>
      </c>
      <c r="G1297" s="189">
        <f ca="1">IFERROR(__xludf.DUMMYFUNCTION("""COMPUTED_VALUE"""),1)</f>
        <v>1</v>
      </c>
      <c r="H1297" s="196" t="s">
        <v>204</v>
      </c>
      <c r="I1297" s="196"/>
      <c r="J1297" s="196" t="s">
        <v>29</v>
      </c>
      <c r="K1297" s="196"/>
      <c r="L1297" s="196" t="str">
        <v xml:space="preserve"> 53.90</v>
      </c>
      <c r="M1297" s="196"/>
    </row>
    <row r="1298" spans="1:13" ht="14.4" x14ac:dyDescent="0.3">
      <c r="A1298" s="189" t="str">
        <f ca="1">IFERROR(__xludf.DUMMYFUNCTION("""COMPUTED_VALUE"""),"OAK")</f>
        <v>OAK</v>
      </c>
      <c r="B1298" s="195" t="str">
        <f ca="1">IFERROR(__xludf.DUMMYFUNCTION("""COMPUTED_VALUE"""),"Gaius Roberts")</f>
        <v>Gaius Roberts</v>
      </c>
      <c r="C1298" s="189">
        <f ca="1">IFERROR(__xludf.DUMMYFUNCTION("""COMPUTED_VALUE"""),6)</f>
        <v>6</v>
      </c>
      <c r="D1298" s="189" t="str">
        <f ca="1">IFERROR(__xludf.DUMMYFUNCTION("""COMPUTED_VALUE"""),"B")</f>
        <v>B</v>
      </c>
      <c r="E1298" s="189" t="str">
        <f ca="1">IFERROR(__xludf.DUMMYFUNCTION("""COMPUTED_VALUE"""),"F")</f>
        <v>F</v>
      </c>
      <c r="F1298" s="189" t="str">
        <f ca="1">IFERROR(__xludf.DUMMYFUNCTION("""COMPUTED_VALUE"""),"J")</f>
        <v>J</v>
      </c>
      <c r="G1298" s="189">
        <f ca="1">IFERROR(__xludf.DUMMYFUNCTION("""COMPUTED_VALUE"""),1)</f>
        <v>1</v>
      </c>
      <c r="H1298" s="196"/>
      <c r="I1298" s="196"/>
      <c r="J1298" s="196"/>
      <c r="K1298" s="196"/>
      <c r="L1298" s="196" t="str">
        <v/>
      </c>
      <c r="M1298" s="196"/>
    </row>
    <row r="1299" spans="1:13" ht="14.4" x14ac:dyDescent="0.3">
      <c r="A1299" s="189" t="str">
        <f ca="1">IFERROR(__xludf.DUMMYFUNCTION("""COMPUTED_VALUE"""),"OAK")</f>
        <v>OAK</v>
      </c>
      <c r="B1299" s="195" t="str">
        <f ca="1">IFERROR(__xludf.DUMMYFUNCTION("""COMPUTED_VALUE"""),"Graham Smith")</f>
        <v>Graham Smith</v>
      </c>
      <c r="C1299" s="189">
        <f ca="1">IFERROR(__xludf.DUMMYFUNCTION("""COMPUTED_VALUE"""),7)</f>
        <v>7</v>
      </c>
      <c r="D1299" s="189" t="str">
        <f ca="1">IFERROR(__xludf.DUMMYFUNCTION("""COMPUTED_VALUE"""),"B")</f>
        <v>B</v>
      </c>
      <c r="E1299" s="189" t="str">
        <f ca="1">IFERROR(__xludf.DUMMYFUNCTION("""COMPUTED_VALUE"""),"F")</f>
        <v>F</v>
      </c>
      <c r="F1299" s="189" t="str">
        <f ca="1">IFERROR(__xludf.DUMMYFUNCTION("""COMPUTED_VALUE"""),"J")</f>
        <v>J</v>
      </c>
      <c r="G1299" s="189">
        <f ca="1">IFERROR(__xludf.DUMMYFUNCTION("""COMPUTED_VALUE"""),1)</f>
        <v>1</v>
      </c>
      <c r="H1299" s="196"/>
      <c r="I1299" s="196"/>
      <c r="J1299" s="196"/>
      <c r="K1299" s="196"/>
      <c r="L1299" s="196" t="str">
        <v/>
      </c>
      <c r="M1299" s="196"/>
    </row>
    <row r="1300" spans="1:13" ht="14.4" x14ac:dyDescent="0.3">
      <c r="A1300" s="189" t="str">
        <f ca="1">IFERROR(__xludf.DUMMYFUNCTION("""COMPUTED_VALUE"""),"OAK")</f>
        <v>OAK</v>
      </c>
      <c r="B1300" s="195" t="str">
        <f ca="1">IFERROR(__xludf.DUMMYFUNCTION("""COMPUTED_VALUE"""),"Henry Chang")</f>
        <v>Henry Chang</v>
      </c>
      <c r="C1300" s="189">
        <f ca="1">IFERROR(__xludf.DUMMYFUNCTION("""COMPUTED_VALUE"""),9)</f>
        <v>9</v>
      </c>
      <c r="D1300" s="189" t="str">
        <f ca="1">IFERROR(__xludf.DUMMYFUNCTION("""COMPUTED_VALUE"""),"B")</f>
        <v>B</v>
      </c>
      <c r="E1300" s="189" t="str">
        <f ca="1">IFERROR(__xludf.DUMMYFUNCTION("""COMPUTED_VALUE"""),"F")</f>
        <v>F</v>
      </c>
      <c r="F1300" s="189" t="str">
        <f ca="1">IFERROR(__xludf.DUMMYFUNCTION("""COMPUTED_VALUE"""),"J")</f>
        <v>J</v>
      </c>
      <c r="G1300" s="189">
        <f ca="1">IFERROR(__xludf.DUMMYFUNCTION("""COMPUTED_VALUE"""),1)</f>
        <v>1</v>
      </c>
      <c r="H1300" s="196" t="s">
        <v>549</v>
      </c>
      <c r="I1300" s="196"/>
      <c r="J1300" s="196" t="s">
        <v>64</v>
      </c>
      <c r="K1300" s="196"/>
      <c r="L1300" s="196" t="str">
        <v xml:space="preserve"> -70.90</v>
      </c>
      <c r="M1300" s="196"/>
    </row>
    <row r="1301" spans="1:13" ht="14.4" x14ac:dyDescent="0.3">
      <c r="A1301" s="189" t="str">
        <f ca="1">IFERROR(__xludf.DUMMYFUNCTION("""COMPUTED_VALUE"""),"OAK")</f>
        <v>OAK</v>
      </c>
      <c r="B1301" s="195" t="str">
        <f ca="1">IFERROR(__xludf.DUMMYFUNCTION("""COMPUTED_VALUE"""),"Justin Kroopnick")</f>
        <v>Justin Kroopnick</v>
      </c>
      <c r="C1301" s="189">
        <f ca="1">IFERROR(__xludf.DUMMYFUNCTION("""COMPUTED_VALUE"""),8)</f>
        <v>8</v>
      </c>
      <c r="D1301" s="189" t="str">
        <f ca="1">IFERROR(__xludf.DUMMYFUNCTION("""COMPUTED_VALUE"""),"B")</f>
        <v>B</v>
      </c>
      <c r="E1301" s="189" t="str">
        <f ca="1">IFERROR(__xludf.DUMMYFUNCTION("""COMPUTED_VALUE"""),"F")</f>
        <v>F</v>
      </c>
      <c r="F1301" s="189" t="str">
        <f ca="1">IFERROR(__xludf.DUMMYFUNCTION("""COMPUTED_VALUE"""),"J")</f>
        <v>J</v>
      </c>
      <c r="G1301" s="189">
        <f ca="1">IFERROR(__xludf.DUMMYFUNCTION("""COMPUTED_VALUE"""),1)</f>
        <v>1</v>
      </c>
      <c r="H1301" s="196" t="s">
        <v>550</v>
      </c>
      <c r="I1301" s="196"/>
      <c r="J1301" s="196" t="s">
        <v>29</v>
      </c>
      <c r="K1301" s="196"/>
      <c r="L1301" s="196" t="str">
        <v xml:space="preserve"> 57.50</v>
      </c>
      <c r="M1301" s="196"/>
    </row>
    <row r="1302" spans="1:13" ht="14.4" x14ac:dyDescent="0.3">
      <c r="A1302" s="189" t="str">
        <f ca="1">IFERROR(__xludf.DUMMYFUNCTION("""COMPUTED_VALUE"""),"OAK")</f>
        <v>OAK</v>
      </c>
      <c r="B1302" s="195" t="str">
        <f ca="1">IFERROR(__xludf.DUMMYFUNCTION("""COMPUTED_VALUE"""),"Owen McLenahan")</f>
        <v>Owen McLenahan</v>
      </c>
      <c r="C1302" s="189">
        <f ca="1">IFERROR(__xludf.DUMMYFUNCTION("""COMPUTED_VALUE"""),9)</f>
        <v>9</v>
      </c>
      <c r="D1302" s="189" t="str">
        <f ca="1">IFERROR(__xludf.DUMMYFUNCTION("""COMPUTED_VALUE"""),"B")</f>
        <v>B</v>
      </c>
      <c r="E1302" s="189" t="str">
        <f ca="1">IFERROR(__xludf.DUMMYFUNCTION("""COMPUTED_VALUE"""),"F")</f>
        <v>F</v>
      </c>
      <c r="F1302" s="189" t="str">
        <f ca="1">IFERROR(__xludf.DUMMYFUNCTION("""COMPUTED_VALUE"""),"J")</f>
        <v>J</v>
      </c>
      <c r="G1302" s="189">
        <f ca="1">IFERROR(__xludf.DUMMYFUNCTION("""COMPUTED_VALUE"""),1)</f>
        <v>1</v>
      </c>
      <c r="H1302" s="196" t="s">
        <v>551</v>
      </c>
      <c r="I1302" s="196"/>
      <c r="J1302" s="196" t="s">
        <v>29</v>
      </c>
      <c r="K1302" s="196"/>
      <c r="L1302" s="196" t="str">
        <v xml:space="preserve"> 50.55</v>
      </c>
      <c r="M1302" s="196"/>
    </row>
    <row r="1303" spans="1:13" ht="14.4" x14ac:dyDescent="0.3">
      <c r="A1303" s="189" t="str">
        <f ca="1">IFERROR(__xludf.DUMMYFUNCTION("""COMPUTED_VALUE"""),"OAK")</f>
        <v>OAK</v>
      </c>
      <c r="B1303" s="195" t="str">
        <f ca="1">IFERROR(__xludf.DUMMYFUNCTION("""COMPUTED_VALUE"""),"Patrick Walsh")</f>
        <v>Patrick Walsh</v>
      </c>
      <c r="C1303" s="189">
        <f ca="1">IFERROR(__xludf.DUMMYFUNCTION("""COMPUTED_VALUE"""),9)</f>
        <v>9</v>
      </c>
      <c r="D1303" s="189" t="str">
        <f ca="1">IFERROR(__xludf.DUMMYFUNCTION("""COMPUTED_VALUE"""),"B")</f>
        <v>B</v>
      </c>
      <c r="E1303" s="189" t="str">
        <f ca="1">IFERROR(__xludf.DUMMYFUNCTION("""COMPUTED_VALUE"""),"F")</f>
        <v>F</v>
      </c>
      <c r="F1303" s="189" t="str">
        <f ca="1">IFERROR(__xludf.DUMMYFUNCTION("""COMPUTED_VALUE"""),"J")</f>
        <v>J</v>
      </c>
      <c r="G1303" s="189">
        <f ca="1">IFERROR(__xludf.DUMMYFUNCTION("""COMPUTED_VALUE"""),1)</f>
        <v>1</v>
      </c>
      <c r="H1303" s="196" t="s">
        <v>202</v>
      </c>
      <c r="I1303" s="196"/>
      <c r="J1303" s="196" t="s">
        <v>29</v>
      </c>
      <c r="K1303" s="196"/>
      <c r="L1303" s="196" t="str">
        <v xml:space="preserve"> 48.40</v>
      </c>
      <c r="M1303" s="196"/>
    </row>
    <row r="1304" spans="1:13" ht="14.4" x14ac:dyDescent="0.3">
      <c r="A1304" s="189" t="str">
        <f ca="1">IFERROR(__xludf.DUMMYFUNCTION("""COMPUTED_VALUE"""),"OAK")</f>
        <v>OAK</v>
      </c>
      <c r="B1304" s="195" t="str">
        <f ca="1">IFERROR(__xludf.DUMMYFUNCTION("""COMPUTED_VALUE"""),"Tobin Ham")</f>
        <v>Tobin Ham</v>
      </c>
      <c r="C1304" s="189">
        <f ca="1">IFERROR(__xludf.DUMMYFUNCTION("""COMPUTED_VALUE"""),9)</f>
        <v>9</v>
      </c>
      <c r="D1304" s="189" t="str">
        <f ca="1">IFERROR(__xludf.DUMMYFUNCTION("""COMPUTED_VALUE"""),"B")</f>
        <v>B</v>
      </c>
      <c r="E1304" s="189" t="str">
        <f ca="1">IFERROR(__xludf.DUMMYFUNCTION("""COMPUTED_VALUE"""),"F")</f>
        <v>F</v>
      </c>
      <c r="F1304" s="189" t="str">
        <f ca="1">IFERROR(__xludf.DUMMYFUNCTION("""COMPUTED_VALUE"""),"J")</f>
        <v>J</v>
      </c>
      <c r="G1304" s="189">
        <f ca="1">IFERROR(__xludf.DUMMYFUNCTION("""COMPUTED_VALUE"""),1)</f>
        <v>1</v>
      </c>
      <c r="H1304" s="196" t="s">
        <v>409</v>
      </c>
      <c r="I1304" s="196"/>
      <c r="J1304" s="196" t="s">
        <v>29</v>
      </c>
      <c r="K1304" s="196"/>
      <c r="L1304" s="196" t="str">
        <v xml:space="preserve"> 48.20</v>
      </c>
      <c r="M1304" s="196"/>
    </row>
    <row r="1305" spans="1:13" ht="14.4" x14ac:dyDescent="0.3">
      <c r="A1305" s="189" t="str">
        <f ca="1">IFERROR(__xludf.DUMMYFUNCTION("""COMPUTED_VALUE"""),"OAK")</f>
        <v>OAK</v>
      </c>
      <c r="B1305" s="195" t="str">
        <f ca="1">IFERROR(__xludf.DUMMYFUNCTION("""COMPUTED_VALUE"""),"Tyler Kroopnick")</f>
        <v>Tyler Kroopnick</v>
      </c>
      <c r="C1305" s="189">
        <f ca="1">IFERROR(__xludf.DUMMYFUNCTION("""COMPUTED_VALUE"""),10)</f>
        <v>10</v>
      </c>
      <c r="D1305" s="189" t="str">
        <f ca="1">IFERROR(__xludf.DUMMYFUNCTION("""COMPUTED_VALUE"""),"B")</f>
        <v>B</v>
      </c>
      <c r="E1305" s="189" t="str">
        <f ca="1">IFERROR(__xludf.DUMMYFUNCTION("""COMPUTED_VALUE"""),"F")</f>
        <v>F</v>
      </c>
      <c r="F1305" s="189" t="str">
        <f ca="1">IFERROR(__xludf.DUMMYFUNCTION("""COMPUTED_VALUE"""),"J")</f>
        <v>J</v>
      </c>
      <c r="G1305" s="189">
        <f ca="1">IFERROR(__xludf.DUMMYFUNCTION("""COMPUTED_VALUE"""),1)</f>
        <v>1</v>
      </c>
      <c r="H1305" s="196" t="s">
        <v>552</v>
      </c>
      <c r="I1305" s="196"/>
      <c r="J1305" s="196" t="s">
        <v>29</v>
      </c>
      <c r="K1305" s="196"/>
      <c r="L1305" s="196" t="str">
        <v xml:space="preserve"> 78.25</v>
      </c>
      <c r="M1305" s="196"/>
    </row>
    <row r="1306" spans="1:13" ht="14.4" x14ac:dyDescent="0.3">
      <c r="A1306" s="189" t="str">
        <f ca="1">IFERROR(__xludf.DUMMYFUNCTION("""COMPUTED_VALUE"""),"OAK")</f>
        <v>OAK</v>
      </c>
      <c r="B1306" s="195" t="str">
        <f ca="1">IFERROR(__xludf.DUMMYFUNCTION("""COMPUTED_VALUE"""),"Charlotte Henderson")</f>
        <v>Charlotte Henderson</v>
      </c>
      <c r="C1306" s="189">
        <f ca="1">IFERROR(__xludf.DUMMYFUNCTION("""COMPUTED_VALUE"""),14)</f>
        <v>14</v>
      </c>
      <c r="D1306" s="189" t="str">
        <f ca="1">IFERROR(__xludf.DUMMYFUNCTION("""COMPUTED_VALUE"""),"G")</f>
        <v>G</v>
      </c>
      <c r="E1306" s="189" t="str">
        <f ca="1">IFERROR(__xludf.DUMMYFUNCTION("""COMPUTED_VALUE"""),"I")</f>
        <v>I</v>
      </c>
      <c r="F1306" s="189" t="str">
        <f ca="1">IFERROR(__xludf.DUMMYFUNCTION("""COMPUTED_VALUE"""),"S")</f>
        <v>S</v>
      </c>
      <c r="G1306" s="189">
        <f ca="1">IFERROR(__xludf.DUMMYFUNCTION("""COMPUTED_VALUE"""),1)</f>
        <v>1</v>
      </c>
      <c r="H1306" s="196" t="s">
        <v>553</v>
      </c>
      <c r="I1306" s="196"/>
      <c r="J1306" s="196" t="s">
        <v>29</v>
      </c>
      <c r="K1306" s="196"/>
      <c r="L1306" s="196" t="str">
        <v xml:space="preserve"> 124.60</v>
      </c>
      <c r="M1306" s="196"/>
    </row>
    <row r="1307" spans="1:13" ht="14.4" x14ac:dyDescent="0.3">
      <c r="A1307" s="189" t="str">
        <f ca="1">IFERROR(__xludf.DUMMYFUNCTION("""COMPUTED_VALUE"""),"OAK")</f>
        <v>OAK</v>
      </c>
      <c r="B1307" s="195" t="str">
        <f ca="1">IFERROR(__xludf.DUMMYFUNCTION("""COMPUTED_VALUE"""),"Ella Henderson")</f>
        <v>Ella Henderson</v>
      </c>
      <c r="C1307" s="189">
        <f ca="1">IFERROR(__xludf.DUMMYFUNCTION("""COMPUTED_VALUE"""),14)</f>
        <v>14</v>
      </c>
      <c r="D1307" s="189" t="str">
        <f ca="1">IFERROR(__xludf.DUMMYFUNCTION("""COMPUTED_VALUE"""),"G")</f>
        <v>G</v>
      </c>
      <c r="E1307" s="189" t="str">
        <f ca="1">IFERROR(__xludf.DUMMYFUNCTION("""COMPUTED_VALUE"""),"I")</f>
        <v>I</v>
      </c>
      <c r="F1307" s="189" t="str">
        <f ca="1">IFERROR(__xludf.DUMMYFUNCTION("""COMPUTED_VALUE"""),"S")</f>
        <v>S</v>
      </c>
      <c r="G1307" s="189">
        <f ca="1">IFERROR(__xludf.DUMMYFUNCTION("""COMPUTED_VALUE"""),1)</f>
        <v>1</v>
      </c>
      <c r="H1307" s="196" t="s">
        <v>554</v>
      </c>
      <c r="I1307" s="196"/>
      <c r="J1307" s="196" t="s">
        <v>29</v>
      </c>
      <c r="K1307" s="196"/>
      <c r="L1307" s="196" t="str">
        <v xml:space="preserve"> 101.70</v>
      </c>
      <c r="M1307" s="196"/>
    </row>
    <row r="1308" spans="1:13" ht="14.4" x14ac:dyDescent="0.3">
      <c r="A1308" s="189" t="str">
        <f ca="1">IFERROR(__xludf.DUMMYFUNCTION("""COMPUTED_VALUE"""),"OAK")</f>
        <v>OAK</v>
      </c>
      <c r="B1308" s="195" t="str">
        <f ca="1">IFERROR(__xludf.DUMMYFUNCTION("""COMPUTED_VALUE"""),"Genevieve Wilson")</f>
        <v>Genevieve Wilson</v>
      </c>
      <c r="C1308" s="189">
        <f ca="1">IFERROR(__xludf.DUMMYFUNCTION("""COMPUTED_VALUE"""),14)</f>
        <v>14</v>
      </c>
      <c r="D1308" s="189" t="str">
        <f ca="1">IFERROR(__xludf.DUMMYFUNCTION("""COMPUTED_VALUE"""),"G")</f>
        <v>G</v>
      </c>
      <c r="E1308" s="189" t="str">
        <f ca="1">IFERROR(__xludf.DUMMYFUNCTION("""COMPUTED_VALUE"""),"I")</f>
        <v>I</v>
      </c>
      <c r="F1308" s="189" t="str">
        <f ca="1">IFERROR(__xludf.DUMMYFUNCTION("""COMPUTED_VALUE"""),"S")</f>
        <v>S</v>
      </c>
      <c r="G1308" s="189">
        <f ca="1">IFERROR(__xludf.DUMMYFUNCTION("""COMPUTED_VALUE"""),1)</f>
        <v>1</v>
      </c>
      <c r="H1308" s="196"/>
      <c r="I1308" s="196"/>
      <c r="J1308" s="196"/>
      <c r="K1308" s="196"/>
      <c r="L1308" s="196" t="str">
        <v/>
      </c>
      <c r="M1308" s="196"/>
    </row>
    <row r="1309" spans="1:13" ht="14.4" x14ac:dyDescent="0.3">
      <c r="A1309" s="189" t="str">
        <f ca="1">IFERROR(__xludf.DUMMYFUNCTION("""COMPUTED_VALUE"""),"OAK")</f>
        <v>OAK</v>
      </c>
      <c r="B1309" s="195" t="str">
        <f ca="1">IFERROR(__xludf.DUMMYFUNCTION("""COMPUTED_VALUE"""),"Maia Berthe")</f>
        <v>Maia Berthe</v>
      </c>
      <c r="C1309" s="189">
        <f ca="1">IFERROR(__xludf.DUMMYFUNCTION("""COMPUTED_VALUE"""),14)</f>
        <v>14</v>
      </c>
      <c r="D1309" s="189" t="str">
        <f ca="1">IFERROR(__xludf.DUMMYFUNCTION("""COMPUTED_VALUE"""),"G")</f>
        <v>G</v>
      </c>
      <c r="E1309" s="189" t="str">
        <f ca="1">IFERROR(__xludf.DUMMYFUNCTION("""COMPUTED_VALUE"""),"I")</f>
        <v>I</v>
      </c>
      <c r="F1309" s="189" t="str">
        <f ca="1">IFERROR(__xludf.DUMMYFUNCTION("""COMPUTED_VALUE"""),"S")</f>
        <v>S</v>
      </c>
      <c r="G1309" s="189">
        <f ca="1">IFERROR(__xludf.DUMMYFUNCTION("""COMPUTED_VALUE"""),1)</f>
        <v>1</v>
      </c>
      <c r="H1309" s="196"/>
      <c r="I1309" s="196"/>
      <c r="J1309" s="196"/>
      <c r="K1309" s="196"/>
      <c r="L1309" s="196" t="str">
        <v/>
      </c>
      <c r="M1309" s="196"/>
    </row>
    <row r="1310" spans="1:13" ht="14.4" x14ac:dyDescent="0.3">
      <c r="A1310" s="189" t="str">
        <f ca="1">IFERROR(__xludf.DUMMYFUNCTION("""COMPUTED_VALUE"""),"OAK")</f>
        <v>OAK</v>
      </c>
      <c r="B1310" s="195" t="str">
        <f ca="1">IFERROR(__xludf.DUMMYFUNCTION("""COMPUTED_VALUE"""),"Alex Negron")</f>
        <v>Alex Negron</v>
      </c>
      <c r="C1310" s="189">
        <f ca="1">IFERROR(__xludf.DUMMYFUNCTION("""COMPUTED_VALUE"""),14)</f>
        <v>14</v>
      </c>
      <c r="D1310" s="189" t="str">
        <f ca="1">IFERROR(__xludf.DUMMYFUNCTION("""COMPUTED_VALUE"""),"B")</f>
        <v>B</v>
      </c>
      <c r="E1310" s="189" t="str">
        <f ca="1">IFERROR(__xludf.DUMMYFUNCTION("""COMPUTED_VALUE"""),"I")</f>
        <v>I</v>
      </c>
      <c r="F1310" s="189" t="str">
        <f ca="1">IFERROR(__xludf.DUMMYFUNCTION("""COMPUTED_VALUE"""),"S")</f>
        <v>S</v>
      </c>
      <c r="G1310" s="189">
        <f ca="1">IFERROR(__xludf.DUMMYFUNCTION("""COMPUTED_VALUE"""),1)</f>
        <v>1</v>
      </c>
      <c r="H1310" s="196" t="s">
        <v>555</v>
      </c>
      <c r="I1310" s="196"/>
      <c r="J1310" s="196" t="s">
        <v>29</v>
      </c>
      <c r="K1310" s="196"/>
      <c r="L1310" s="196" t="str">
        <v xml:space="preserve"> 80.40</v>
      </c>
      <c r="M1310" s="196"/>
    </row>
    <row r="1311" spans="1:13" ht="14.4" x14ac:dyDescent="0.3">
      <c r="A1311" s="189" t="str">
        <f ca="1">IFERROR(__xludf.DUMMYFUNCTION("""COMPUTED_VALUE"""),"OAK")</f>
        <v>OAK</v>
      </c>
      <c r="B1311" s="195" t="str">
        <f ca="1">IFERROR(__xludf.DUMMYFUNCTION("""COMPUTED_VALUE"""),"Caleb McManus")</f>
        <v>Caleb McManus</v>
      </c>
      <c r="C1311" s="189">
        <f ca="1">IFERROR(__xludf.DUMMYFUNCTION("""COMPUTED_VALUE"""),13)</f>
        <v>13</v>
      </c>
      <c r="D1311" s="189" t="str">
        <f ca="1">IFERROR(__xludf.DUMMYFUNCTION("""COMPUTED_VALUE"""),"B")</f>
        <v>B</v>
      </c>
      <c r="E1311" s="189" t="str">
        <f ca="1">IFERROR(__xludf.DUMMYFUNCTION("""COMPUTED_VALUE"""),"I")</f>
        <v>I</v>
      </c>
      <c r="F1311" s="189" t="str">
        <f ca="1">IFERROR(__xludf.DUMMYFUNCTION("""COMPUTED_VALUE"""),"S")</f>
        <v>S</v>
      </c>
      <c r="G1311" s="189">
        <f ca="1">IFERROR(__xludf.DUMMYFUNCTION("""COMPUTED_VALUE"""),1)</f>
        <v>1</v>
      </c>
      <c r="H1311" s="196" t="s">
        <v>556</v>
      </c>
      <c r="I1311" s="196"/>
      <c r="J1311" s="196" t="s">
        <v>29</v>
      </c>
      <c r="K1311" s="196"/>
      <c r="L1311" s="196" t="str">
        <v xml:space="preserve"> 123.30</v>
      </c>
      <c r="M1311" s="196"/>
    </row>
    <row r="1312" spans="1:13" ht="14.4" x14ac:dyDescent="0.3">
      <c r="A1312" s="189" t="str">
        <f ca="1">IFERROR(__xludf.DUMMYFUNCTION("""COMPUTED_VALUE"""),"OAK")</f>
        <v>OAK</v>
      </c>
      <c r="B1312" s="195" t="str">
        <f ca="1">IFERROR(__xludf.DUMMYFUNCTION("""COMPUTED_VALUE"""),"Colby Reese")</f>
        <v>Colby Reese</v>
      </c>
      <c r="C1312" s="189">
        <f ca="1">IFERROR(__xludf.DUMMYFUNCTION("""COMPUTED_VALUE"""),13)</f>
        <v>13</v>
      </c>
      <c r="D1312" s="189" t="str">
        <f ca="1">IFERROR(__xludf.DUMMYFUNCTION("""COMPUTED_VALUE"""),"B")</f>
        <v>B</v>
      </c>
      <c r="E1312" s="189" t="str">
        <f ca="1">IFERROR(__xludf.DUMMYFUNCTION("""COMPUTED_VALUE"""),"I")</f>
        <v>I</v>
      </c>
      <c r="F1312" s="189" t="str">
        <f ca="1">IFERROR(__xludf.DUMMYFUNCTION("""COMPUTED_VALUE"""),"S")</f>
        <v>S</v>
      </c>
      <c r="G1312" s="189">
        <f ca="1">IFERROR(__xludf.DUMMYFUNCTION("""COMPUTED_VALUE"""),1)</f>
        <v>1</v>
      </c>
      <c r="H1312" s="196"/>
      <c r="I1312" s="196"/>
      <c r="J1312" s="196"/>
      <c r="K1312" s="196"/>
      <c r="L1312" s="196" t="str">
        <v/>
      </c>
      <c r="M1312" s="196"/>
    </row>
    <row r="1313" spans="1:13" ht="14.4" x14ac:dyDescent="0.3">
      <c r="A1313" s="189" t="str">
        <f ca="1">IFERROR(__xludf.DUMMYFUNCTION("""COMPUTED_VALUE"""),"OAK")</f>
        <v>OAK</v>
      </c>
      <c r="B1313" s="195" t="str">
        <f ca="1">IFERROR(__xludf.DUMMYFUNCTION("""COMPUTED_VALUE"""),"Connor Timm")</f>
        <v>Connor Timm</v>
      </c>
      <c r="C1313" s="189">
        <f ca="1">IFERROR(__xludf.DUMMYFUNCTION("""COMPUTED_VALUE"""),13)</f>
        <v>13</v>
      </c>
      <c r="D1313" s="189" t="str">
        <f ca="1">IFERROR(__xludf.DUMMYFUNCTION("""COMPUTED_VALUE"""),"B")</f>
        <v>B</v>
      </c>
      <c r="E1313" s="189" t="str">
        <f ca="1">IFERROR(__xludf.DUMMYFUNCTION("""COMPUTED_VALUE"""),"I")</f>
        <v>I</v>
      </c>
      <c r="F1313" s="189" t="str">
        <f ca="1">IFERROR(__xludf.DUMMYFUNCTION("""COMPUTED_VALUE"""),"S")</f>
        <v>S</v>
      </c>
      <c r="G1313" s="189">
        <f ca="1">IFERROR(__xludf.DUMMYFUNCTION("""COMPUTED_VALUE"""),1)</f>
        <v>1</v>
      </c>
      <c r="H1313" s="196" t="s">
        <v>557</v>
      </c>
      <c r="I1313" s="196"/>
      <c r="J1313" s="196" t="s">
        <v>29</v>
      </c>
      <c r="K1313" s="196"/>
      <c r="L1313" s="196" t="str">
        <v xml:space="preserve"> 91.95</v>
      </c>
      <c r="M1313" s="196"/>
    </row>
    <row r="1314" spans="1:13" ht="14.4" x14ac:dyDescent="0.3">
      <c r="A1314" s="189" t="str">
        <f ca="1">IFERROR(__xludf.DUMMYFUNCTION("""COMPUTED_VALUE"""),"OAK")</f>
        <v>OAK</v>
      </c>
      <c r="B1314" s="195" t="str">
        <f ca="1">IFERROR(__xludf.DUMMYFUNCTION("""COMPUTED_VALUE"""),"Sam Zarechnak")</f>
        <v>Sam Zarechnak</v>
      </c>
      <c r="C1314" s="189">
        <f ca="1">IFERROR(__xludf.DUMMYFUNCTION("""COMPUTED_VALUE"""),13)</f>
        <v>13</v>
      </c>
      <c r="D1314" s="189" t="str">
        <f ca="1">IFERROR(__xludf.DUMMYFUNCTION("""COMPUTED_VALUE"""),"B")</f>
        <v>B</v>
      </c>
      <c r="E1314" s="189" t="str">
        <f ca="1">IFERROR(__xludf.DUMMYFUNCTION("""COMPUTED_VALUE"""),"I")</f>
        <v>I</v>
      </c>
      <c r="F1314" s="189" t="str">
        <f ca="1">IFERROR(__xludf.DUMMYFUNCTION("""COMPUTED_VALUE"""),"S")</f>
        <v>S</v>
      </c>
      <c r="G1314" s="189">
        <f ca="1">IFERROR(__xludf.DUMMYFUNCTION("""COMPUTED_VALUE"""),1)</f>
        <v>1</v>
      </c>
      <c r="H1314" s="196" t="s">
        <v>558</v>
      </c>
      <c r="I1314" s="196"/>
      <c r="J1314" s="196" t="s">
        <v>29</v>
      </c>
      <c r="K1314" s="196"/>
      <c r="L1314" s="196" t="str">
        <v xml:space="preserve"> 83.80</v>
      </c>
      <c r="M1314" s="196"/>
    </row>
    <row r="1315" spans="1:13" ht="14.4" x14ac:dyDescent="0.3">
      <c r="A1315" s="189" t="str">
        <f ca="1">IFERROR(__xludf.DUMMYFUNCTION("""COMPUTED_VALUE"""),"OAK")</f>
        <v>OAK</v>
      </c>
      <c r="B1315" s="195" t="str">
        <f ca="1">IFERROR(__xludf.DUMMYFUNCTION("""COMPUTED_VALUE"""),"Audrey Hammond")</f>
        <v>Audrey Hammond</v>
      </c>
      <c r="C1315" s="189">
        <f ca="1">IFERROR(__xludf.DUMMYFUNCTION("""COMPUTED_VALUE"""),12)</f>
        <v>12</v>
      </c>
      <c r="D1315" s="189" t="str">
        <f ca="1">IFERROR(__xludf.DUMMYFUNCTION("""COMPUTED_VALUE"""),"G")</f>
        <v>G</v>
      </c>
      <c r="E1315" s="189" t="str">
        <f ca="1">IFERROR(__xludf.DUMMYFUNCTION("""COMPUTED_VALUE"""),"J")</f>
        <v>J</v>
      </c>
      <c r="F1315" s="189" t="str">
        <f ca="1">IFERROR(__xludf.DUMMYFUNCTION("""COMPUTED_VALUE"""),"I")</f>
        <v>I</v>
      </c>
      <c r="G1315" s="189">
        <f ca="1">IFERROR(__xludf.DUMMYFUNCTION("""COMPUTED_VALUE"""),1)</f>
        <v>1</v>
      </c>
      <c r="H1315" s="196"/>
      <c r="I1315" s="196"/>
      <c r="J1315" s="196"/>
      <c r="K1315" s="196"/>
      <c r="L1315" s="196" t="str">
        <v/>
      </c>
      <c r="M1315" s="196"/>
    </row>
    <row r="1316" spans="1:13" ht="14.4" x14ac:dyDescent="0.3">
      <c r="A1316" s="189" t="str">
        <f ca="1">IFERROR(__xludf.DUMMYFUNCTION("""COMPUTED_VALUE"""),"OAK")</f>
        <v>OAK</v>
      </c>
      <c r="B1316" s="195" t="str">
        <f ca="1">IFERROR(__xludf.DUMMYFUNCTION("""COMPUTED_VALUE"""),"Lauren Emerick")</f>
        <v>Lauren Emerick</v>
      </c>
      <c r="C1316" s="189">
        <f ca="1">IFERROR(__xludf.DUMMYFUNCTION("""COMPUTED_VALUE"""),12)</f>
        <v>12</v>
      </c>
      <c r="D1316" s="189" t="str">
        <f ca="1">IFERROR(__xludf.DUMMYFUNCTION("""COMPUTED_VALUE"""),"G")</f>
        <v>G</v>
      </c>
      <c r="E1316" s="189" t="str">
        <f ca="1">IFERROR(__xludf.DUMMYFUNCTION("""COMPUTED_VALUE"""),"J")</f>
        <v>J</v>
      </c>
      <c r="F1316" s="189" t="str">
        <f ca="1">IFERROR(__xludf.DUMMYFUNCTION("""COMPUTED_VALUE"""),"I")</f>
        <v>I</v>
      </c>
      <c r="G1316" s="189">
        <f ca="1">IFERROR(__xludf.DUMMYFUNCTION("""COMPUTED_VALUE"""),1)</f>
        <v>1</v>
      </c>
      <c r="H1316" s="196" t="s">
        <v>559</v>
      </c>
      <c r="I1316" s="196"/>
      <c r="J1316" s="196" t="s">
        <v>29</v>
      </c>
      <c r="K1316" s="196"/>
      <c r="L1316" s="196" t="str">
        <v xml:space="preserve"> 86.10</v>
      </c>
      <c r="M1316" s="196"/>
    </row>
    <row r="1317" spans="1:13" ht="14.4" x14ac:dyDescent="0.3">
      <c r="A1317" s="189" t="str">
        <f ca="1">IFERROR(__xludf.DUMMYFUNCTION("""COMPUTED_VALUE"""),"OAK")</f>
        <v>OAK</v>
      </c>
      <c r="B1317" s="195" t="str">
        <f ca="1">IFERROR(__xludf.DUMMYFUNCTION("""COMPUTED_VALUE"""),"Margie Hammond")</f>
        <v>Margie Hammond</v>
      </c>
      <c r="C1317" s="189">
        <f ca="1">IFERROR(__xludf.DUMMYFUNCTION("""COMPUTED_VALUE"""),11)</f>
        <v>11</v>
      </c>
      <c r="D1317" s="189" t="str">
        <f ca="1">IFERROR(__xludf.DUMMYFUNCTION("""COMPUTED_VALUE"""),"G")</f>
        <v>G</v>
      </c>
      <c r="E1317" s="189" t="str">
        <f ca="1">IFERROR(__xludf.DUMMYFUNCTION("""COMPUTED_VALUE"""),"J")</f>
        <v>J</v>
      </c>
      <c r="F1317" s="189" t="str">
        <f ca="1">IFERROR(__xludf.DUMMYFUNCTION("""COMPUTED_VALUE"""),"I")</f>
        <v>I</v>
      </c>
      <c r="G1317" s="189">
        <f ca="1">IFERROR(__xludf.DUMMYFUNCTION("""COMPUTED_VALUE"""),1)</f>
        <v>1</v>
      </c>
      <c r="H1317" s="196"/>
      <c r="I1317" s="196"/>
      <c r="J1317" s="196"/>
      <c r="K1317" s="196"/>
      <c r="L1317" s="196" t="str">
        <v/>
      </c>
      <c r="M1317" s="196"/>
    </row>
    <row r="1318" spans="1:13" ht="14.4" x14ac:dyDescent="0.3">
      <c r="A1318" s="189" t="str">
        <f ca="1">IFERROR(__xludf.DUMMYFUNCTION("""COMPUTED_VALUE"""),"OAK")</f>
        <v>OAK</v>
      </c>
      <c r="B1318" s="195" t="str">
        <f ca="1">IFERROR(__xludf.DUMMYFUNCTION("""COMPUTED_VALUE"""),"Simone Wilson")</f>
        <v>Simone Wilson</v>
      </c>
      <c r="C1318" s="189">
        <f ca="1">IFERROR(__xludf.DUMMYFUNCTION("""COMPUTED_VALUE"""),12)</f>
        <v>12</v>
      </c>
      <c r="D1318" s="189" t="str">
        <f ca="1">IFERROR(__xludf.DUMMYFUNCTION("""COMPUTED_VALUE"""),"G")</f>
        <v>G</v>
      </c>
      <c r="E1318" s="189" t="str">
        <f ca="1">IFERROR(__xludf.DUMMYFUNCTION("""COMPUTED_VALUE"""),"J")</f>
        <v>J</v>
      </c>
      <c r="F1318" s="189" t="str">
        <f ca="1">IFERROR(__xludf.DUMMYFUNCTION("""COMPUTED_VALUE"""),"I")</f>
        <v>I</v>
      </c>
      <c r="G1318" s="189">
        <f ca="1">IFERROR(__xludf.DUMMYFUNCTION("""COMPUTED_VALUE"""),1)</f>
        <v>1</v>
      </c>
      <c r="H1318" s="196" t="s">
        <v>560</v>
      </c>
      <c r="I1318" s="196"/>
      <c r="J1318" s="196" t="s">
        <v>29</v>
      </c>
      <c r="K1318" s="196"/>
      <c r="L1318" s="196" t="str">
        <v xml:space="preserve"> 98.95</v>
      </c>
      <c r="M1318" s="196"/>
    </row>
    <row r="1319" spans="1:13" ht="14.4" x14ac:dyDescent="0.3">
      <c r="A1319" s="189" t="str">
        <f ca="1">IFERROR(__xludf.DUMMYFUNCTION("""COMPUTED_VALUE"""),"OAK")</f>
        <v>OAK</v>
      </c>
      <c r="B1319" s="195" t="str">
        <f ca="1">IFERROR(__xludf.DUMMYFUNCTION("""COMPUTED_VALUE"""),"Vivian Warren")</f>
        <v>Vivian Warren</v>
      </c>
      <c r="C1319" s="189">
        <f ca="1">IFERROR(__xludf.DUMMYFUNCTION("""COMPUTED_VALUE"""),11)</f>
        <v>11</v>
      </c>
      <c r="D1319" s="189" t="str">
        <f ca="1">IFERROR(__xludf.DUMMYFUNCTION("""COMPUTED_VALUE"""),"G")</f>
        <v>G</v>
      </c>
      <c r="E1319" s="189" t="str">
        <f ca="1">IFERROR(__xludf.DUMMYFUNCTION("""COMPUTED_VALUE"""),"J")</f>
        <v>J</v>
      </c>
      <c r="F1319" s="189" t="str">
        <f ca="1">IFERROR(__xludf.DUMMYFUNCTION("""COMPUTED_VALUE"""),"I")</f>
        <v>I</v>
      </c>
      <c r="G1319" s="189">
        <f ca="1">IFERROR(__xludf.DUMMYFUNCTION("""COMPUTED_VALUE"""),1)</f>
        <v>1</v>
      </c>
      <c r="H1319" s="196"/>
      <c r="I1319" s="196"/>
      <c r="J1319" s="196"/>
      <c r="K1319" s="196"/>
      <c r="L1319" s="196" t="str">
        <v/>
      </c>
      <c r="M1319" s="196"/>
    </row>
    <row r="1320" spans="1:13" ht="14.4" x14ac:dyDescent="0.3">
      <c r="A1320" s="189" t="str">
        <f ca="1">IFERROR(__xludf.DUMMYFUNCTION("""COMPUTED_VALUE"""),"OAK")</f>
        <v>OAK</v>
      </c>
      <c r="B1320" s="195" t="str">
        <f ca="1">IFERROR(__xludf.DUMMYFUNCTION("""COMPUTED_VALUE"""),"Jameson Ham")</f>
        <v>Jameson Ham</v>
      </c>
      <c r="C1320" s="189">
        <f ca="1">IFERROR(__xludf.DUMMYFUNCTION("""COMPUTED_VALUE"""),12)</f>
        <v>12</v>
      </c>
      <c r="D1320" s="189" t="str">
        <f ca="1">IFERROR(__xludf.DUMMYFUNCTION("""COMPUTED_VALUE"""),"B")</f>
        <v>B</v>
      </c>
      <c r="E1320" s="189" t="str">
        <f ca="1">IFERROR(__xludf.DUMMYFUNCTION("""COMPUTED_VALUE"""),"J")</f>
        <v>J</v>
      </c>
      <c r="F1320" s="189" t="str">
        <f ca="1">IFERROR(__xludf.DUMMYFUNCTION("""COMPUTED_VALUE"""),"I")</f>
        <v>I</v>
      </c>
      <c r="G1320" s="189">
        <f ca="1">IFERROR(__xludf.DUMMYFUNCTION("""COMPUTED_VALUE"""),1)</f>
        <v>1</v>
      </c>
      <c r="H1320" s="196" t="s">
        <v>561</v>
      </c>
      <c r="I1320" s="196"/>
      <c r="J1320" s="196" t="s">
        <v>29</v>
      </c>
      <c r="K1320" s="196"/>
      <c r="L1320" s="196" t="str">
        <v xml:space="preserve"> 60.35</v>
      </c>
      <c r="M1320" s="196"/>
    </row>
    <row r="1321" spans="1:13" ht="14.4" x14ac:dyDescent="0.3">
      <c r="A1321" s="189" t="str">
        <f ca="1">IFERROR(__xludf.DUMMYFUNCTION("""COMPUTED_VALUE"""),"OAK")</f>
        <v>OAK</v>
      </c>
      <c r="B1321" s="195" t="str">
        <f ca="1">IFERROR(__xludf.DUMMYFUNCTION("""COMPUTED_VALUE"""),"Timmy Van Haute")</f>
        <v>Timmy Van Haute</v>
      </c>
      <c r="C1321" s="189">
        <f ca="1">IFERROR(__xludf.DUMMYFUNCTION("""COMPUTED_VALUE"""),12)</f>
        <v>12</v>
      </c>
      <c r="D1321" s="189" t="str">
        <f ca="1">IFERROR(__xludf.DUMMYFUNCTION("""COMPUTED_VALUE"""),"B")</f>
        <v>B</v>
      </c>
      <c r="E1321" s="189" t="str">
        <f ca="1">IFERROR(__xludf.DUMMYFUNCTION("""COMPUTED_VALUE"""),"J")</f>
        <v>J</v>
      </c>
      <c r="F1321" s="189" t="str">
        <f ca="1">IFERROR(__xludf.DUMMYFUNCTION("""COMPUTED_VALUE"""),"I")</f>
        <v>I</v>
      </c>
      <c r="G1321" s="189">
        <f ca="1">IFERROR(__xludf.DUMMYFUNCTION("""COMPUTED_VALUE"""),1)</f>
        <v>1</v>
      </c>
      <c r="H1321" s="196"/>
      <c r="I1321" s="196"/>
      <c r="J1321" s="196"/>
      <c r="K1321" s="196"/>
      <c r="L1321" s="196" t="str">
        <v/>
      </c>
      <c r="M1321" s="196"/>
    </row>
    <row r="1322" spans="1:13" ht="14.4" x14ac:dyDescent="0.3">
      <c r="A1322" s="189" t="str">
        <f ca="1">IFERROR(__xludf.DUMMYFUNCTION("""COMPUTED_VALUE"""),"OAK")</f>
        <v>OAK</v>
      </c>
      <c r="B1322" s="195" t="str">
        <f ca="1">IFERROR(__xludf.DUMMYFUNCTION("""COMPUTED_VALUE"""),"Freya Griffiths")</f>
        <v>Freya Griffiths</v>
      </c>
      <c r="C1322" s="189">
        <f ca="1">IFERROR(__xludf.DUMMYFUNCTION("""COMPUTED_VALUE"""),15)</f>
        <v>15</v>
      </c>
      <c r="D1322" s="189" t="str">
        <f ca="1">IFERROR(__xludf.DUMMYFUNCTION("""COMPUTED_VALUE"""),"G")</f>
        <v>G</v>
      </c>
      <c r="E1322" s="189" t="str">
        <f ca="1">IFERROR(__xludf.DUMMYFUNCTION("""COMPUTED_VALUE"""),"S")</f>
        <v>S</v>
      </c>
      <c r="F1322" s="189" t="str">
        <f ca="1">IFERROR(__xludf.DUMMYFUNCTION("""COMPUTED_VALUE"""),"S")</f>
        <v>S</v>
      </c>
      <c r="G1322" s="189">
        <f ca="1">IFERROR(__xludf.DUMMYFUNCTION("""COMPUTED_VALUE"""),1)</f>
        <v>1</v>
      </c>
      <c r="H1322" s="196" t="s">
        <v>562</v>
      </c>
      <c r="I1322" s="196"/>
      <c r="J1322" s="196" t="s">
        <v>29</v>
      </c>
      <c r="K1322" s="196"/>
      <c r="L1322" s="196" t="str">
        <v xml:space="preserve"> 109.70</v>
      </c>
      <c r="M1322" s="196"/>
    </row>
    <row r="1323" spans="1:13" ht="14.4" x14ac:dyDescent="0.3">
      <c r="A1323" s="189" t="str">
        <f ca="1">IFERROR(__xludf.DUMMYFUNCTION("""COMPUTED_VALUE"""),"OAK")</f>
        <v>OAK</v>
      </c>
      <c r="B1323" s="195" t="str">
        <f ca="1">IFERROR(__xludf.DUMMYFUNCTION("""COMPUTED_VALUE"""),"Isabelle Whang")</f>
        <v>Isabelle Whang</v>
      </c>
      <c r="C1323" s="189">
        <f ca="1">IFERROR(__xludf.DUMMYFUNCTION("""COMPUTED_VALUE"""),15)</f>
        <v>15</v>
      </c>
      <c r="D1323" s="189" t="str">
        <f ca="1">IFERROR(__xludf.DUMMYFUNCTION("""COMPUTED_VALUE"""),"G")</f>
        <v>G</v>
      </c>
      <c r="E1323" s="189" t="str">
        <f ca="1">IFERROR(__xludf.DUMMYFUNCTION("""COMPUTED_VALUE"""),"S")</f>
        <v>S</v>
      </c>
      <c r="F1323" s="189" t="str">
        <f ca="1">IFERROR(__xludf.DUMMYFUNCTION("""COMPUTED_VALUE"""),"S")</f>
        <v>S</v>
      </c>
      <c r="G1323" s="189">
        <f ca="1">IFERROR(__xludf.DUMMYFUNCTION("""COMPUTED_VALUE"""),1)</f>
        <v>1</v>
      </c>
      <c r="H1323" s="196" t="s">
        <v>563</v>
      </c>
      <c r="I1323" s="196"/>
      <c r="J1323" s="196" t="s">
        <v>29</v>
      </c>
      <c r="K1323" s="196"/>
      <c r="L1323" s="196" t="str">
        <v xml:space="preserve"> 198.05</v>
      </c>
      <c r="M1323" s="196"/>
    </row>
    <row r="1324" spans="1:13" ht="14.4" x14ac:dyDescent="0.3">
      <c r="A1324" s="189" t="str">
        <f ca="1">IFERROR(__xludf.DUMMYFUNCTION("""COMPUTED_VALUE"""),"OAK")</f>
        <v>OAK</v>
      </c>
      <c r="B1324" s="195" t="str">
        <f ca="1">IFERROR(__xludf.DUMMYFUNCTION("""COMPUTED_VALUE"""),"Kayla Knight")</f>
        <v>Kayla Knight</v>
      </c>
      <c r="C1324" s="189">
        <f ca="1">IFERROR(__xludf.DUMMYFUNCTION("""COMPUTED_VALUE"""),15)</f>
        <v>15</v>
      </c>
      <c r="D1324" s="189" t="str">
        <f ca="1">IFERROR(__xludf.DUMMYFUNCTION("""COMPUTED_VALUE"""),"G")</f>
        <v>G</v>
      </c>
      <c r="E1324" s="189" t="str">
        <f ca="1">IFERROR(__xludf.DUMMYFUNCTION("""COMPUTED_VALUE"""),"S")</f>
        <v>S</v>
      </c>
      <c r="F1324" s="189" t="str">
        <f ca="1">IFERROR(__xludf.DUMMYFUNCTION("""COMPUTED_VALUE"""),"S")</f>
        <v>S</v>
      </c>
      <c r="G1324" s="189">
        <f ca="1">IFERROR(__xludf.DUMMYFUNCTION("""COMPUTED_VALUE"""),1)</f>
        <v>1</v>
      </c>
      <c r="H1324" s="196" t="s">
        <v>564</v>
      </c>
      <c r="I1324" s="196"/>
      <c r="J1324" s="196" t="s">
        <v>29</v>
      </c>
      <c r="K1324" s="196"/>
      <c r="L1324" s="196" t="str">
        <v xml:space="preserve"> 175.35</v>
      </c>
      <c r="M1324" s="196"/>
    </row>
    <row r="1325" spans="1:13" ht="14.4" x14ac:dyDescent="0.3">
      <c r="A1325" s="189" t="str">
        <f ca="1">IFERROR(__xludf.DUMMYFUNCTION("""COMPUTED_VALUE"""),"OAK")</f>
        <v>OAK</v>
      </c>
      <c r="B1325" s="195" t="str">
        <f ca="1">IFERROR(__xludf.DUMMYFUNCTION("""COMPUTED_VALUE"""),"Kendall Arnz")</f>
        <v>Kendall Arnz</v>
      </c>
      <c r="C1325" s="189">
        <f ca="1">IFERROR(__xludf.DUMMYFUNCTION("""COMPUTED_VALUE"""),16)</f>
        <v>16</v>
      </c>
      <c r="D1325" s="189" t="str">
        <f ca="1">IFERROR(__xludf.DUMMYFUNCTION("""COMPUTED_VALUE"""),"G")</f>
        <v>G</v>
      </c>
      <c r="E1325" s="189" t="str">
        <f ca="1">IFERROR(__xludf.DUMMYFUNCTION("""COMPUTED_VALUE"""),"S")</f>
        <v>S</v>
      </c>
      <c r="F1325" s="189" t="str">
        <f ca="1">IFERROR(__xludf.DUMMYFUNCTION("""COMPUTED_VALUE"""),"S")</f>
        <v>S</v>
      </c>
      <c r="G1325" s="189">
        <f ca="1">IFERROR(__xludf.DUMMYFUNCTION("""COMPUTED_VALUE"""),1)</f>
        <v>1</v>
      </c>
      <c r="H1325" s="196" t="s">
        <v>565</v>
      </c>
      <c r="I1325" s="196"/>
      <c r="J1325" s="196" t="s">
        <v>29</v>
      </c>
      <c r="K1325" s="196"/>
      <c r="L1325" s="196" t="str">
        <v xml:space="preserve"> 127.45</v>
      </c>
      <c r="M1325" s="196"/>
    </row>
    <row r="1326" spans="1:13" ht="14.4" x14ac:dyDescent="0.3">
      <c r="A1326" s="189" t="str">
        <f ca="1">IFERROR(__xludf.DUMMYFUNCTION("""COMPUTED_VALUE"""),"OAK")</f>
        <v>OAK</v>
      </c>
      <c r="B1326" s="195" t="str">
        <f ca="1">IFERROR(__xludf.DUMMYFUNCTION("""COMPUTED_VALUE"""),"Bennett Wozny")</f>
        <v>Bennett Wozny</v>
      </c>
      <c r="C1326" s="189">
        <f ca="1">IFERROR(__xludf.DUMMYFUNCTION("""COMPUTED_VALUE"""),18)</f>
        <v>18</v>
      </c>
      <c r="D1326" s="189" t="str">
        <f ca="1">IFERROR(__xludf.DUMMYFUNCTION("""COMPUTED_VALUE"""),"B")</f>
        <v>B</v>
      </c>
      <c r="E1326" s="189" t="str">
        <f ca="1">IFERROR(__xludf.DUMMYFUNCTION("""COMPUTED_VALUE"""),"S")</f>
        <v>S</v>
      </c>
      <c r="F1326" s="189" t="str">
        <f ca="1">IFERROR(__xludf.DUMMYFUNCTION("""COMPUTED_VALUE"""),"S")</f>
        <v>S</v>
      </c>
      <c r="G1326" s="189">
        <f ca="1">IFERROR(__xludf.DUMMYFUNCTION("""COMPUTED_VALUE"""),1)</f>
        <v>1</v>
      </c>
      <c r="H1326" s="196"/>
      <c r="I1326" s="196"/>
      <c r="J1326" s="196"/>
      <c r="K1326" s="196"/>
      <c r="L1326" s="196" t="str">
        <v/>
      </c>
      <c r="M1326" s="196"/>
    </row>
    <row r="1327" spans="1:13" ht="14.4" x14ac:dyDescent="0.3">
      <c r="A1327" s="189" t="str">
        <f ca="1">IFERROR(__xludf.DUMMYFUNCTION("""COMPUTED_VALUE"""),"OAK")</f>
        <v>OAK</v>
      </c>
      <c r="B1327" s="195" t="str">
        <f ca="1">IFERROR(__xludf.DUMMYFUNCTION("""COMPUTED_VALUE"""),"Brendan Doe")</f>
        <v>Brendan Doe</v>
      </c>
      <c r="C1327" s="189">
        <f ca="1">IFERROR(__xludf.DUMMYFUNCTION("""COMPUTED_VALUE"""),17)</f>
        <v>17</v>
      </c>
      <c r="D1327" s="189" t="str">
        <f ca="1">IFERROR(__xludf.DUMMYFUNCTION("""COMPUTED_VALUE"""),"B")</f>
        <v>B</v>
      </c>
      <c r="E1327" s="189" t="str">
        <f ca="1">IFERROR(__xludf.DUMMYFUNCTION("""COMPUTED_VALUE"""),"S")</f>
        <v>S</v>
      </c>
      <c r="F1327" s="189" t="str">
        <f ca="1">IFERROR(__xludf.DUMMYFUNCTION("""COMPUTED_VALUE"""),"S")</f>
        <v>S</v>
      </c>
      <c r="G1327" s="189">
        <f ca="1">IFERROR(__xludf.DUMMYFUNCTION("""COMPUTED_VALUE"""),1)</f>
        <v>1</v>
      </c>
      <c r="H1327" s="196" t="s">
        <v>566</v>
      </c>
      <c r="I1327" s="196"/>
      <c r="J1327" s="196" t="s">
        <v>29</v>
      </c>
      <c r="K1327" s="196"/>
      <c r="L1327" s="196" t="str">
        <v xml:space="preserve"> 242.25</v>
      </c>
      <c r="M1327" s="196"/>
    </row>
    <row r="1328" spans="1:13" ht="14.4" x14ac:dyDescent="0.3">
      <c r="A1328" s="189" t="str">
        <f ca="1">IFERROR(__xludf.DUMMYFUNCTION("""COMPUTED_VALUE"""),"OAK")</f>
        <v>OAK</v>
      </c>
      <c r="B1328" s="195" t="str">
        <f ca="1">IFERROR(__xludf.DUMMYFUNCTION("""COMPUTED_VALUE"""),"Jon Anthony Montel")</f>
        <v>Jon Anthony Montel</v>
      </c>
      <c r="C1328" s="189">
        <f ca="1">IFERROR(__xludf.DUMMYFUNCTION("""COMPUTED_VALUE"""),16)</f>
        <v>16</v>
      </c>
      <c r="D1328" s="189" t="str">
        <f ca="1">IFERROR(__xludf.DUMMYFUNCTION("""COMPUTED_VALUE"""),"B")</f>
        <v>B</v>
      </c>
      <c r="E1328" s="189" t="str">
        <f ca="1">IFERROR(__xludf.DUMMYFUNCTION("""COMPUTED_VALUE"""),"S")</f>
        <v>S</v>
      </c>
      <c r="F1328" s="189" t="str">
        <f ca="1">IFERROR(__xludf.DUMMYFUNCTION("""COMPUTED_VALUE"""),"S")</f>
        <v>S</v>
      </c>
      <c r="G1328" s="189">
        <f ca="1">IFERROR(__xludf.DUMMYFUNCTION("""COMPUTED_VALUE"""),1)</f>
        <v>1</v>
      </c>
      <c r="H1328" s="196" t="s">
        <v>567</v>
      </c>
      <c r="I1328" s="196"/>
      <c r="J1328" s="196" t="s">
        <v>29</v>
      </c>
      <c r="K1328" s="196"/>
      <c r="L1328" s="196" t="str">
        <v xml:space="preserve"> 211.65</v>
      </c>
      <c r="M1328" s="196"/>
    </row>
    <row r="1329" spans="1:13" ht="14.4" x14ac:dyDescent="0.3">
      <c r="A1329" s="189" t="str">
        <f ca="1">IFERROR(__xludf.DUMMYFUNCTION("""COMPUTED_VALUE"""),"OAK")</f>
        <v>OAK</v>
      </c>
      <c r="B1329" s="195" t="str">
        <f ca="1">IFERROR(__xludf.DUMMYFUNCTION("""COMPUTED_VALUE"""),"Thibault Lede")</f>
        <v>Thibault Lede</v>
      </c>
      <c r="C1329" s="189">
        <f ca="1">IFERROR(__xludf.DUMMYFUNCTION("""COMPUTED_VALUE"""),15)</f>
        <v>15</v>
      </c>
      <c r="D1329" s="189" t="str">
        <f ca="1">IFERROR(__xludf.DUMMYFUNCTION("""COMPUTED_VALUE"""),"B")</f>
        <v>B</v>
      </c>
      <c r="E1329" s="189" t="str">
        <f ca="1">IFERROR(__xludf.DUMMYFUNCTION("""COMPUTED_VALUE"""),"S")</f>
        <v>S</v>
      </c>
      <c r="F1329" s="189" t="str">
        <f ca="1">IFERROR(__xludf.DUMMYFUNCTION("""COMPUTED_VALUE"""),"S")</f>
        <v>S</v>
      </c>
      <c r="G1329" s="189">
        <f ca="1">IFERROR(__xludf.DUMMYFUNCTION("""COMPUTED_VALUE"""),1)</f>
        <v>1</v>
      </c>
      <c r="H1329" s="196" t="s">
        <v>568</v>
      </c>
      <c r="I1329" s="196"/>
      <c r="J1329" s="196" t="s">
        <v>29</v>
      </c>
      <c r="K1329" s="196"/>
      <c r="L1329" s="196" t="str">
        <v xml:space="preserve"> 220.80</v>
      </c>
      <c r="M1329" s="196"/>
    </row>
    <row r="1330" spans="1:13" ht="14.4" x14ac:dyDescent="0.3">
      <c r="A1330" s="189" t="str">
        <f ca="1">IFERROR(__xludf.DUMMYFUNCTION("""COMPUTED_VALUE"""),"OH")</f>
        <v>OH</v>
      </c>
      <c r="B1330" s="195" t="str">
        <f ca="1">IFERROR(__xludf.DUMMYFUNCTION("""COMPUTED_VALUE"""),"Anna Dreyer")</f>
        <v>Anna Dreyer</v>
      </c>
      <c r="C1330" s="189">
        <f ca="1">IFERROR(__xludf.DUMMYFUNCTION("""COMPUTED_VALUE"""),9)</f>
        <v>9</v>
      </c>
      <c r="D1330" s="189" t="str">
        <f ca="1">IFERROR(__xludf.DUMMYFUNCTION("""COMPUTED_VALUE"""),"G")</f>
        <v>G</v>
      </c>
      <c r="E1330" s="189" t="str">
        <f ca="1">IFERROR(__xludf.DUMMYFUNCTION("""COMPUTED_VALUE"""),"F")</f>
        <v>F</v>
      </c>
      <c r="F1330" s="189" t="str">
        <f ca="1">IFERROR(__xludf.DUMMYFUNCTION("""COMPUTED_VALUE"""),"J")</f>
        <v>J</v>
      </c>
      <c r="G1330" s="189">
        <f ca="1">IFERROR(__xludf.DUMMYFUNCTION("""COMPUTED_VALUE"""),8)</f>
        <v>8</v>
      </c>
      <c r="H1330" s="196" t="s">
        <v>200</v>
      </c>
      <c r="I1330" s="196"/>
      <c r="J1330" s="196" t="s">
        <v>29</v>
      </c>
      <c r="K1330" s="196"/>
      <c r="L1330" s="196" t="str">
        <v xml:space="preserve"> 28.85</v>
      </c>
      <c r="M1330" s="196"/>
    </row>
    <row r="1331" spans="1:13" ht="14.4" x14ac:dyDescent="0.3">
      <c r="A1331" s="189" t="str">
        <f ca="1">IFERROR(__xludf.DUMMYFUNCTION("""COMPUTED_VALUE"""),"OH")</f>
        <v>OH</v>
      </c>
      <c r="B1331" s="195" t="str">
        <f ca="1">IFERROR(__xludf.DUMMYFUNCTION("""COMPUTED_VALUE"""),"Elaina Ryan")</f>
        <v>Elaina Ryan</v>
      </c>
      <c r="C1331" s="189">
        <f ca="1">IFERROR(__xludf.DUMMYFUNCTION("""COMPUTED_VALUE"""),8)</f>
        <v>8</v>
      </c>
      <c r="D1331" s="189" t="str">
        <f ca="1">IFERROR(__xludf.DUMMYFUNCTION("""COMPUTED_VALUE"""),"G")</f>
        <v>G</v>
      </c>
      <c r="E1331" s="189" t="str">
        <f ca="1">IFERROR(__xludf.DUMMYFUNCTION("""COMPUTED_VALUE"""),"F")</f>
        <v>F</v>
      </c>
      <c r="F1331" s="189" t="str">
        <f ca="1">IFERROR(__xludf.DUMMYFUNCTION("""COMPUTED_VALUE"""),"J")</f>
        <v>J</v>
      </c>
      <c r="G1331" s="189">
        <f ca="1">IFERROR(__xludf.DUMMYFUNCTION("""COMPUTED_VALUE"""),8)</f>
        <v>8</v>
      </c>
      <c r="H1331" s="196"/>
      <c r="I1331" s="196"/>
      <c r="J1331" s="196"/>
      <c r="K1331" s="196"/>
      <c r="L1331" s="196" t="str">
        <v/>
      </c>
      <c r="M1331" s="196"/>
    </row>
    <row r="1332" spans="1:13" ht="14.4" x14ac:dyDescent="0.3">
      <c r="A1332" s="189" t="str">
        <f ca="1">IFERROR(__xludf.DUMMYFUNCTION("""COMPUTED_VALUE"""),"OH")</f>
        <v>OH</v>
      </c>
      <c r="B1332" s="195" t="str">
        <f ca="1">IFERROR(__xludf.DUMMYFUNCTION("""COMPUTED_VALUE"""),"Eleanor Bermingham")</f>
        <v>Eleanor Bermingham</v>
      </c>
      <c r="C1332" s="189">
        <f ca="1">IFERROR(__xludf.DUMMYFUNCTION("""COMPUTED_VALUE"""),8)</f>
        <v>8</v>
      </c>
      <c r="D1332" s="189" t="str">
        <f ca="1">IFERROR(__xludf.DUMMYFUNCTION("""COMPUTED_VALUE"""),"G")</f>
        <v>G</v>
      </c>
      <c r="E1332" s="189" t="str">
        <f ca="1">IFERROR(__xludf.DUMMYFUNCTION("""COMPUTED_VALUE"""),"F")</f>
        <v>F</v>
      </c>
      <c r="F1332" s="189" t="str">
        <f ca="1">IFERROR(__xludf.DUMMYFUNCTION("""COMPUTED_VALUE"""),"J")</f>
        <v>J</v>
      </c>
      <c r="G1332" s="189">
        <f ca="1">IFERROR(__xludf.DUMMYFUNCTION("""COMPUTED_VALUE"""),8)</f>
        <v>8</v>
      </c>
      <c r="H1332" s="196"/>
      <c r="I1332" s="196"/>
      <c r="J1332" s="196"/>
      <c r="K1332" s="196"/>
      <c r="L1332" s="196" t="str">
        <v/>
      </c>
      <c r="M1332" s="196"/>
    </row>
    <row r="1333" spans="1:13" ht="14.4" x14ac:dyDescent="0.3">
      <c r="A1333" s="189" t="str">
        <f ca="1">IFERROR(__xludf.DUMMYFUNCTION("""COMPUTED_VALUE"""),"OH")</f>
        <v>OH</v>
      </c>
      <c r="B1333" s="195" t="str">
        <f ca="1">IFERROR(__xludf.DUMMYFUNCTION("""COMPUTED_VALUE"""),"Elena Johnson")</f>
        <v>Elena Johnson</v>
      </c>
      <c r="C1333" s="189">
        <f ca="1">IFERROR(__xludf.DUMMYFUNCTION("""COMPUTED_VALUE"""),10)</f>
        <v>10</v>
      </c>
      <c r="D1333" s="189" t="str">
        <f ca="1">IFERROR(__xludf.DUMMYFUNCTION("""COMPUTED_VALUE"""),"G")</f>
        <v>G</v>
      </c>
      <c r="E1333" s="189" t="str">
        <f ca="1">IFERROR(__xludf.DUMMYFUNCTION("""COMPUTED_VALUE"""),"F")</f>
        <v>F</v>
      </c>
      <c r="F1333" s="189" t="str">
        <f ca="1">IFERROR(__xludf.DUMMYFUNCTION("""COMPUTED_VALUE"""),"J")</f>
        <v>J</v>
      </c>
      <c r="G1333" s="189">
        <f ca="1">IFERROR(__xludf.DUMMYFUNCTION("""COMPUTED_VALUE"""),8)</f>
        <v>8</v>
      </c>
      <c r="H1333" s="196" t="s">
        <v>569</v>
      </c>
      <c r="I1333" s="196"/>
      <c r="J1333" s="196" t="s">
        <v>29</v>
      </c>
      <c r="K1333" s="196"/>
      <c r="L1333" s="196" t="str">
        <v xml:space="preserve"> 36.70</v>
      </c>
      <c r="M1333" s="196"/>
    </row>
    <row r="1334" spans="1:13" ht="14.4" x14ac:dyDescent="0.3">
      <c r="A1334" s="189" t="str">
        <f ca="1">IFERROR(__xludf.DUMMYFUNCTION("""COMPUTED_VALUE"""),"OH")</f>
        <v>OH</v>
      </c>
      <c r="B1334" s="195" t="str">
        <f ca="1">IFERROR(__xludf.DUMMYFUNCTION("""COMPUTED_VALUE"""),"Ellie Hiscock")</f>
        <v>Ellie Hiscock</v>
      </c>
      <c r="C1334" s="189">
        <f ca="1">IFERROR(__xludf.DUMMYFUNCTION("""COMPUTED_VALUE"""),10)</f>
        <v>10</v>
      </c>
      <c r="D1334" s="189" t="str">
        <f ca="1">IFERROR(__xludf.DUMMYFUNCTION("""COMPUTED_VALUE"""),"G")</f>
        <v>G</v>
      </c>
      <c r="E1334" s="189" t="str">
        <f ca="1">IFERROR(__xludf.DUMMYFUNCTION("""COMPUTED_VALUE"""),"F")</f>
        <v>F</v>
      </c>
      <c r="F1334" s="189" t="str">
        <f ca="1">IFERROR(__xludf.DUMMYFUNCTION("""COMPUTED_VALUE"""),"J")</f>
        <v>J</v>
      </c>
      <c r="G1334" s="189">
        <f ca="1">IFERROR(__xludf.DUMMYFUNCTION("""COMPUTED_VALUE"""),8)</f>
        <v>8</v>
      </c>
      <c r="H1334" s="196"/>
      <c r="I1334" s="196"/>
      <c r="J1334" s="196"/>
      <c r="K1334" s="196"/>
      <c r="L1334" s="196" t="str">
        <v/>
      </c>
      <c r="M1334" s="196"/>
    </row>
    <row r="1335" spans="1:13" ht="14.4" x14ac:dyDescent="0.3">
      <c r="A1335" s="189" t="str">
        <f ca="1">IFERROR(__xludf.DUMMYFUNCTION("""COMPUTED_VALUE"""),"OH")</f>
        <v>OH</v>
      </c>
      <c r="B1335" s="195" t="str">
        <f ca="1">IFERROR(__xludf.DUMMYFUNCTION("""COMPUTED_VALUE"""),"Emilia Schvind")</f>
        <v>Emilia Schvind</v>
      </c>
      <c r="C1335" s="189">
        <f ca="1">IFERROR(__xludf.DUMMYFUNCTION("""COMPUTED_VALUE"""),8)</f>
        <v>8</v>
      </c>
      <c r="D1335" s="189" t="str">
        <f ca="1">IFERROR(__xludf.DUMMYFUNCTION("""COMPUTED_VALUE"""),"G")</f>
        <v>G</v>
      </c>
      <c r="E1335" s="189" t="str">
        <f ca="1">IFERROR(__xludf.DUMMYFUNCTION("""COMPUTED_VALUE"""),"F")</f>
        <v>F</v>
      </c>
      <c r="F1335" s="189" t="str">
        <f ca="1">IFERROR(__xludf.DUMMYFUNCTION("""COMPUTED_VALUE"""),"J")</f>
        <v>J</v>
      </c>
      <c r="G1335" s="189">
        <f ca="1">IFERROR(__xludf.DUMMYFUNCTION("""COMPUTED_VALUE"""),8)</f>
        <v>8</v>
      </c>
      <c r="H1335" s="196"/>
      <c r="I1335" s="196"/>
      <c r="J1335" s="196"/>
      <c r="K1335" s="196"/>
      <c r="L1335" s="196" t="str">
        <v/>
      </c>
      <c r="M1335" s="196"/>
    </row>
    <row r="1336" spans="1:13" ht="14.4" x14ac:dyDescent="0.3">
      <c r="A1336" s="189" t="str">
        <f ca="1">IFERROR(__xludf.DUMMYFUNCTION("""COMPUTED_VALUE"""),"OH")</f>
        <v>OH</v>
      </c>
      <c r="B1336" s="195" t="str">
        <f ca="1">IFERROR(__xludf.DUMMYFUNCTION("""COMPUTED_VALUE"""),"Hannah Murawski")</f>
        <v>Hannah Murawski</v>
      </c>
      <c r="C1336" s="189">
        <f ca="1">IFERROR(__xludf.DUMMYFUNCTION("""COMPUTED_VALUE"""),8)</f>
        <v>8</v>
      </c>
      <c r="D1336" s="189" t="str">
        <f ca="1">IFERROR(__xludf.DUMMYFUNCTION("""COMPUTED_VALUE"""),"G")</f>
        <v>G</v>
      </c>
      <c r="E1336" s="189" t="str">
        <f ca="1">IFERROR(__xludf.DUMMYFUNCTION("""COMPUTED_VALUE"""),"F")</f>
        <v>F</v>
      </c>
      <c r="F1336" s="189" t="str">
        <f ca="1">IFERROR(__xludf.DUMMYFUNCTION("""COMPUTED_VALUE"""),"J")</f>
        <v>J</v>
      </c>
      <c r="G1336" s="189">
        <f ca="1">IFERROR(__xludf.DUMMYFUNCTION("""COMPUTED_VALUE"""),8)</f>
        <v>8</v>
      </c>
      <c r="H1336" s="196"/>
      <c r="I1336" s="196"/>
      <c r="J1336" s="196"/>
      <c r="K1336" s="196"/>
      <c r="L1336" s="196" t="str">
        <v/>
      </c>
      <c r="M1336" s="196"/>
    </row>
    <row r="1337" spans="1:13" ht="14.4" x14ac:dyDescent="0.3">
      <c r="A1337" s="189" t="str">
        <f ca="1">IFERROR(__xludf.DUMMYFUNCTION("""COMPUTED_VALUE"""),"OH")</f>
        <v>OH</v>
      </c>
      <c r="B1337" s="195" t="str">
        <f ca="1">IFERROR(__xludf.DUMMYFUNCTION("""COMPUTED_VALUE"""),"Kiera Carpenter")</f>
        <v>Kiera Carpenter</v>
      </c>
      <c r="C1337" s="189">
        <f ca="1">IFERROR(__xludf.DUMMYFUNCTION("""COMPUTED_VALUE"""),10)</f>
        <v>10</v>
      </c>
      <c r="D1337" s="189" t="str">
        <f ca="1">IFERROR(__xludf.DUMMYFUNCTION("""COMPUTED_VALUE"""),"G")</f>
        <v>G</v>
      </c>
      <c r="E1337" s="189" t="str">
        <f ca="1">IFERROR(__xludf.DUMMYFUNCTION("""COMPUTED_VALUE"""),"F")</f>
        <v>F</v>
      </c>
      <c r="F1337" s="189" t="str">
        <f ca="1">IFERROR(__xludf.DUMMYFUNCTION("""COMPUTED_VALUE"""),"J")</f>
        <v>J</v>
      </c>
      <c r="G1337" s="189">
        <f ca="1">IFERROR(__xludf.DUMMYFUNCTION("""COMPUTED_VALUE"""),8)</f>
        <v>8</v>
      </c>
      <c r="H1337" s="196" t="s">
        <v>570</v>
      </c>
      <c r="I1337" s="196"/>
      <c r="J1337" s="196" t="s">
        <v>29</v>
      </c>
      <c r="K1337" s="196"/>
      <c r="L1337" s="196" t="str">
        <v xml:space="preserve"> 29.75</v>
      </c>
      <c r="M1337" s="196"/>
    </row>
    <row r="1338" spans="1:13" ht="14.4" x14ac:dyDescent="0.3">
      <c r="A1338" s="189" t="str">
        <f ca="1">IFERROR(__xludf.DUMMYFUNCTION("""COMPUTED_VALUE"""),"OH")</f>
        <v>OH</v>
      </c>
      <c r="B1338" s="195" t="str">
        <f ca="1">IFERROR(__xludf.DUMMYFUNCTION("""COMPUTED_VALUE"""),"Lauren Lynn")</f>
        <v>Lauren Lynn</v>
      </c>
      <c r="C1338" s="189">
        <f ca="1">IFERROR(__xludf.DUMMYFUNCTION("""COMPUTED_VALUE"""),10)</f>
        <v>10</v>
      </c>
      <c r="D1338" s="189" t="str">
        <f ca="1">IFERROR(__xludf.DUMMYFUNCTION("""COMPUTED_VALUE"""),"G")</f>
        <v>G</v>
      </c>
      <c r="E1338" s="189" t="str">
        <f ca="1">IFERROR(__xludf.DUMMYFUNCTION("""COMPUTED_VALUE"""),"F")</f>
        <v>F</v>
      </c>
      <c r="F1338" s="189" t="str">
        <f ca="1">IFERROR(__xludf.DUMMYFUNCTION("""COMPUTED_VALUE"""),"J")</f>
        <v>J</v>
      </c>
      <c r="G1338" s="189">
        <f ca="1">IFERROR(__xludf.DUMMYFUNCTION("""COMPUTED_VALUE"""),8)</f>
        <v>8</v>
      </c>
      <c r="H1338" s="196"/>
      <c r="I1338" s="196"/>
      <c r="J1338" s="196"/>
      <c r="K1338" s="196"/>
      <c r="L1338" s="196" t="str">
        <v/>
      </c>
      <c r="M1338" s="196"/>
    </row>
    <row r="1339" spans="1:13" ht="14.4" x14ac:dyDescent="0.3">
      <c r="A1339" s="189" t="str">
        <f ca="1">IFERROR(__xludf.DUMMYFUNCTION("""COMPUTED_VALUE"""),"OH")</f>
        <v>OH</v>
      </c>
      <c r="B1339" s="195" t="str">
        <f ca="1">IFERROR(__xludf.DUMMYFUNCTION("""COMPUTED_VALUE"""),"Lillian Rakip")</f>
        <v>Lillian Rakip</v>
      </c>
      <c r="C1339" s="189">
        <f ca="1">IFERROR(__xludf.DUMMYFUNCTION("""COMPUTED_VALUE"""),10)</f>
        <v>10</v>
      </c>
      <c r="D1339" s="189" t="str">
        <f ca="1">IFERROR(__xludf.DUMMYFUNCTION("""COMPUTED_VALUE"""),"G")</f>
        <v>G</v>
      </c>
      <c r="E1339" s="189" t="str">
        <f ca="1">IFERROR(__xludf.DUMMYFUNCTION("""COMPUTED_VALUE"""),"F")</f>
        <v>F</v>
      </c>
      <c r="F1339" s="189" t="str">
        <f ca="1">IFERROR(__xludf.DUMMYFUNCTION("""COMPUTED_VALUE"""),"J")</f>
        <v>J</v>
      </c>
      <c r="G1339" s="189">
        <f ca="1">IFERROR(__xludf.DUMMYFUNCTION("""COMPUTED_VALUE"""),8)</f>
        <v>8</v>
      </c>
      <c r="H1339" s="196" t="s">
        <v>571</v>
      </c>
      <c r="I1339" s="196"/>
      <c r="J1339" s="196" t="s">
        <v>29</v>
      </c>
      <c r="K1339" s="196"/>
      <c r="L1339" s="196" t="str">
        <v xml:space="preserve"> 33.65</v>
      </c>
      <c r="M1339" s="196"/>
    </row>
    <row r="1340" spans="1:13" ht="14.4" x14ac:dyDescent="0.3">
      <c r="A1340" s="189" t="str">
        <f ca="1">IFERROR(__xludf.DUMMYFUNCTION("""COMPUTED_VALUE"""),"OH")</f>
        <v>OH</v>
      </c>
      <c r="B1340" s="195" t="str">
        <f ca="1">IFERROR(__xludf.DUMMYFUNCTION("""COMPUTED_VALUE"""),"Maren Randazzo")</f>
        <v>Maren Randazzo</v>
      </c>
      <c r="C1340" s="189">
        <f ca="1">IFERROR(__xludf.DUMMYFUNCTION("""COMPUTED_VALUE"""),9)</f>
        <v>9</v>
      </c>
      <c r="D1340" s="189" t="str">
        <f ca="1">IFERROR(__xludf.DUMMYFUNCTION("""COMPUTED_VALUE"""),"G")</f>
        <v>G</v>
      </c>
      <c r="E1340" s="189" t="str">
        <f ca="1">IFERROR(__xludf.DUMMYFUNCTION("""COMPUTED_VALUE"""),"F")</f>
        <v>F</v>
      </c>
      <c r="F1340" s="189" t="str">
        <f ca="1">IFERROR(__xludf.DUMMYFUNCTION("""COMPUTED_VALUE"""),"J")</f>
        <v>J</v>
      </c>
      <c r="G1340" s="189">
        <f ca="1">IFERROR(__xludf.DUMMYFUNCTION("""COMPUTED_VALUE"""),8)</f>
        <v>8</v>
      </c>
      <c r="H1340" s="196" t="s">
        <v>271</v>
      </c>
      <c r="I1340" s="196"/>
      <c r="J1340" s="196" t="s">
        <v>29</v>
      </c>
      <c r="K1340" s="196"/>
      <c r="L1340" s="196" t="str">
        <v xml:space="preserve"> 29.55</v>
      </c>
      <c r="M1340" s="196"/>
    </row>
    <row r="1341" spans="1:13" ht="14.4" x14ac:dyDescent="0.3">
      <c r="A1341" s="189" t="str">
        <f ca="1">IFERROR(__xludf.DUMMYFUNCTION("""COMPUTED_VALUE"""),"OH")</f>
        <v>OH</v>
      </c>
      <c r="B1341" s="195" t="str">
        <f ca="1">IFERROR(__xludf.DUMMYFUNCTION("""COMPUTED_VALUE"""),"Meora Allsbrook")</f>
        <v>Meora Allsbrook</v>
      </c>
      <c r="C1341" s="189">
        <f ca="1">IFERROR(__xludf.DUMMYFUNCTION("""COMPUTED_VALUE"""),10)</f>
        <v>10</v>
      </c>
      <c r="D1341" s="189" t="str">
        <f ca="1">IFERROR(__xludf.DUMMYFUNCTION("""COMPUTED_VALUE"""),"G")</f>
        <v>G</v>
      </c>
      <c r="E1341" s="189" t="str">
        <f ca="1">IFERROR(__xludf.DUMMYFUNCTION("""COMPUTED_VALUE"""),"F")</f>
        <v>F</v>
      </c>
      <c r="F1341" s="189" t="str">
        <f ca="1">IFERROR(__xludf.DUMMYFUNCTION("""COMPUTED_VALUE"""),"J")</f>
        <v>J</v>
      </c>
      <c r="G1341" s="189">
        <f ca="1">IFERROR(__xludf.DUMMYFUNCTION("""COMPUTED_VALUE"""),8)</f>
        <v>8</v>
      </c>
      <c r="H1341" s="196"/>
      <c r="I1341" s="196"/>
      <c r="J1341" s="196"/>
      <c r="K1341" s="196"/>
      <c r="L1341" s="196" t="str">
        <v/>
      </c>
      <c r="M1341" s="196"/>
    </row>
    <row r="1342" spans="1:13" ht="14.4" x14ac:dyDescent="0.3">
      <c r="A1342" s="189" t="str">
        <f ca="1">IFERROR(__xludf.DUMMYFUNCTION("""COMPUTED_VALUE"""),"OH")</f>
        <v>OH</v>
      </c>
      <c r="B1342" s="195" t="str">
        <f ca="1">IFERROR(__xludf.DUMMYFUNCTION("""COMPUTED_VALUE"""),"Natalie Aurilio")</f>
        <v>Natalie Aurilio</v>
      </c>
      <c r="C1342" s="189">
        <f ca="1">IFERROR(__xludf.DUMMYFUNCTION("""COMPUTED_VALUE"""),10)</f>
        <v>10</v>
      </c>
      <c r="D1342" s="189" t="str">
        <f ca="1">IFERROR(__xludf.DUMMYFUNCTION("""COMPUTED_VALUE"""),"G")</f>
        <v>G</v>
      </c>
      <c r="E1342" s="189" t="str">
        <f ca="1">IFERROR(__xludf.DUMMYFUNCTION("""COMPUTED_VALUE"""),"F")</f>
        <v>F</v>
      </c>
      <c r="F1342" s="189" t="str">
        <f ca="1">IFERROR(__xludf.DUMMYFUNCTION("""COMPUTED_VALUE"""),"J")</f>
        <v>J</v>
      </c>
      <c r="G1342" s="189">
        <f ca="1">IFERROR(__xludf.DUMMYFUNCTION("""COMPUTED_VALUE"""),8)</f>
        <v>8</v>
      </c>
      <c r="H1342" s="196" t="s">
        <v>365</v>
      </c>
      <c r="I1342" s="196"/>
      <c r="J1342" s="196" t="s">
        <v>29</v>
      </c>
      <c r="K1342" s="196"/>
      <c r="L1342" s="196" t="str">
        <v xml:space="preserve"> 40.05</v>
      </c>
      <c r="M1342" s="196"/>
    </row>
    <row r="1343" spans="1:13" ht="14.4" x14ac:dyDescent="0.3">
      <c r="A1343" s="189" t="str">
        <f ca="1">IFERROR(__xludf.DUMMYFUNCTION("""COMPUTED_VALUE"""),"OH")</f>
        <v>OH</v>
      </c>
      <c r="B1343" s="195" t="str">
        <f ca="1">IFERROR(__xludf.DUMMYFUNCTION("""COMPUTED_VALUE"""),"Orley Allsbrook")</f>
        <v>Orley Allsbrook</v>
      </c>
      <c r="C1343" s="189">
        <f ca="1">IFERROR(__xludf.DUMMYFUNCTION("""COMPUTED_VALUE"""),8)</f>
        <v>8</v>
      </c>
      <c r="D1343" s="189" t="str">
        <f ca="1">IFERROR(__xludf.DUMMYFUNCTION("""COMPUTED_VALUE"""),"G")</f>
        <v>G</v>
      </c>
      <c r="E1343" s="189" t="str">
        <f ca="1">IFERROR(__xludf.DUMMYFUNCTION("""COMPUTED_VALUE"""),"F")</f>
        <v>F</v>
      </c>
      <c r="F1343" s="189" t="str">
        <f ca="1">IFERROR(__xludf.DUMMYFUNCTION("""COMPUTED_VALUE"""),"J")</f>
        <v>J</v>
      </c>
      <c r="G1343" s="189">
        <f ca="1">IFERROR(__xludf.DUMMYFUNCTION("""COMPUTED_VALUE"""),8)</f>
        <v>8</v>
      </c>
      <c r="H1343" s="196"/>
      <c r="I1343" s="196"/>
      <c r="J1343" s="196"/>
      <c r="K1343" s="196"/>
      <c r="L1343" s="196" t="str">
        <v/>
      </c>
      <c r="M1343" s="196"/>
    </row>
    <row r="1344" spans="1:13" ht="14.4" x14ac:dyDescent="0.3">
      <c r="A1344" s="189" t="str">
        <f ca="1">IFERROR(__xludf.DUMMYFUNCTION("""COMPUTED_VALUE"""),"OH")</f>
        <v>OH</v>
      </c>
      <c r="B1344" s="195" t="str">
        <f ca="1">IFERROR(__xludf.DUMMYFUNCTION("""COMPUTED_VALUE"""),"Raeya Murawski")</f>
        <v>Raeya Murawski</v>
      </c>
      <c r="C1344" s="189">
        <f ca="1">IFERROR(__xludf.DUMMYFUNCTION("""COMPUTED_VALUE"""),6)</f>
        <v>6</v>
      </c>
      <c r="D1344" s="189" t="str">
        <f ca="1">IFERROR(__xludf.DUMMYFUNCTION("""COMPUTED_VALUE"""),"G")</f>
        <v>G</v>
      </c>
      <c r="E1344" s="189" t="str">
        <f ca="1">IFERROR(__xludf.DUMMYFUNCTION("""COMPUTED_VALUE"""),"F")</f>
        <v>F</v>
      </c>
      <c r="F1344" s="189" t="str">
        <f ca="1">IFERROR(__xludf.DUMMYFUNCTION("""COMPUTED_VALUE"""),"J")</f>
        <v>J</v>
      </c>
      <c r="G1344" s="189">
        <f ca="1">IFERROR(__xludf.DUMMYFUNCTION("""COMPUTED_VALUE"""),8)</f>
        <v>8</v>
      </c>
      <c r="H1344" s="196"/>
      <c r="I1344" s="196"/>
      <c r="J1344" s="196"/>
      <c r="K1344" s="196"/>
      <c r="L1344" s="196" t="str">
        <v/>
      </c>
      <c r="M1344" s="196"/>
    </row>
    <row r="1345" spans="1:13" ht="14.4" x14ac:dyDescent="0.3">
      <c r="A1345" s="189" t="str">
        <f ca="1">IFERROR(__xludf.DUMMYFUNCTION("""COMPUTED_VALUE"""),"OH")</f>
        <v>OH</v>
      </c>
      <c r="B1345" s="195" t="str">
        <f ca="1">IFERROR(__xludf.DUMMYFUNCTION("""COMPUTED_VALUE"""),"Roya Calkins")</f>
        <v>Roya Calkins</v>
      </c>
      <c r="C1345" s="189">
        <f ca="1">IFERROR(__xludf.DUMMYFUNCTION("""COMPUTED_VALUE"""),9)</f>
        <v>9</v>
      </c>
      <c r="D1345" s="189" t="str">
        <f ca="1">IFERROR(__xludf.DUMMYFUNCTION("""COMPUTED_VALUE"""),"G")</f>
        <v>G</v>
      </c>
      <c r="E1345" s="189" t="str">
        <f ca="1">IFERROR(__xludf.DUMMYFUNCTION("""COMPUTED_VALUE"""),"F")</f>
        <v>F</v>
      </c>
      <c r="F1345" s="189" t="str">
        <f ca="1">IFERROR(__xludf.DUMMYFUNCTION("""COMPUTED_VALUE"""),"J")</f>
        <v>J</v>
      </c>
      <c r="G1345" s="189">
        <f ca="1">IFERROR(__xludf.DUMMYFUNCTION("""COMPUTED_VALUE"""),8)</f>
        <v>8</v>
      </c>
      <c r="H1345" s="196"/>
      <c r="I1345" s="196"/>
      <c r="J1345" s="196"/>
      <c r="K1345" s="196"/>
      <c r="L1345" s="196" t="str">
        <v/>
      </c>
      <c r="M1345" s="196"/>
    </row>
    <row r="1346" spans="1:13" ht="14.4" x14ac:dyDescent="0.3">
      <c r="A1346" s="189" t="str">
        <f ca="1">IFERROR(__xludf.DUMMYFUNCTION("""COMPUTED_VALUE"""),"OH")</f>
        <v>OH</v>
      </c>
      <c r="B1346" s="195" t="str">
        <f ca="1">IFERROR(__xludf.DUMMYFUNCTION("""COMPUTED_VALUE"""),"Sophie Burges")</f>
        <v>Sophie Burges</v>
      </c>
      <c r="C1346" s="189">
        <f ca="1">IFERROR(__xludf.DUMMYFUNCTION("""COMPUTED_VALUE"""),8)</f>
        <v>8</v>
      </c>
      <c r="D1346" s="189" t="str">
        <f ca="1">IFERROR(__xludf.DUMMYFUNCTION("""COMPUTED_VALUE"""),"G")</f>
        <v>G</v>
      </c>
      <c r="E1346" s="189" t="str">
        <f ca="1">IFERROR(__xludf.DUMMYFUNCTION("""COMPUTED_VALUE"""),"F")</f>
        <v>F</v>
      </c>
      <c r="F1346" s="189" t="str">
        <f ca="1">IFERROR(__xludf.DUMMYFUNCTION("""COMPUTED_VALUE"""),"J")</f>
        <v>J</v>
      </c>
      <c r="G1346" s="189">
        <f ca="1">IFERROR(__xludf.DUMMYFUNCTION("""COMPUTED_VALUE"""),8)</f>
        <v>8</v>
      </c>
      <c r="H1346" s="196"/>
      <c r="I1346" s="196"/>
      <c r="J1346" s="196"/>
      <c r="K1346" s="196"/>
      <c r="L1346" s="196" t="str">
        <v/>
      </c>
      <c r="M1346" s="196"/>
    </row>
    <row r="1347" spans="1:13" ht="14.4" x14ac:dyDescent="0.3">
      <c r="A1347" s="189" t="str">
        <f ca="1">IFERROR(__xludf.DUMMYFUNCTION("""COMPUTED_VALUE"""),"OH")</f>
        <v>OH</v>
      </c>
      <c r="B1347" s="195" t="str">
        <f ca="1">IFERROR(__xludf.DUMMYFUNCTION("""COMPUTED_VALUE"""),"Taylor Randazzo")</f>
        <v>Taylor Randazzo</v>
      </c>
      <c r="C1347" s="189">
        <f ca="1">IFERROR(__xludf.DUMMYFUNCTION("""COMPUTED_VALUE"""),9)</f>
        <v>9</v>
      </c>
      <c r="D1347" s="189" t="str">
        <f ca="1">IFERROR(__xludf.DUMMYFUNCTION("""COMPUTED_VALUE"""),"G")</f>
        <v>G</v>
      </c>
      <c r="E1347" s="189" t="str">
        <f ca="1">IFERROR(__xludf.DUMMYFUNCTION("""COMPUTED_VALUE"""),"F")</f>
        <v>F</v>
      </c>
      <c r="F1347" s="189" t="str">
        <f ca="1">IFERROR(__xludf.DUMMYFUNCTION("""COMPUTED_VALUE"""),"J")</f>
        <v>J</v>
      </c>
      <c r="G1347" s="189">
        <f ca="1">IFERROR(__xludf.DUMMYFUNCTION("""COMPUTED_VALUE"""),8)</f>
        <v>8</v>
      </c>
      <c r="H1347" s="196" t="s">
        <v>572</v>
      </c>
      <c r="I1347" s="196"/>
      <c r="J1347" s="196" t="s">
        <v>29</v>
      </c>
      <c r="K1347" s="196"/>
      <c r="L1347" s="196" t="str">
        <v xml:space="preserve"> 31.20</v>
      </c>
      <c r="M1347" s="196"/>
    </row>
    <row r="1348" spans="1:13" ht="14.4" x14ac:dyDescent="0.3">
      <c r="A1348" s="189" t="str">
        <f ca="1">IFERROR(__xludf.DUMMYFUNCTION("""COMPUTED_VALUE"""),"OH")</f>
        <v>OH</v>
      </c>
      <c r="B1348" s="195" t="str">
        <f ca="1">IFERROR(__xludf.DUMMYFUNCTION("""COMPUTED_VALUE"""),"Adam Zimmer")</f>
        <v>Adam Zimmer</v>
      </c>
      <c r="C1348" s="189">
        <f ca="1">IFERROR(__xludf.DUMMYFUNCTION("""COMPUTED_VALUE"""),10)</f>
        <v>10</v>
      </c>
      <c r="D1348" s="189" t="str">
        <f ca="1">IFERROR(__xludf.DUMMYFUNCTION("""COMPUTED_VALUE"""),"B")</f>
        <v>B</v>
      </c>
      <c r="E1348" s="189" t="str">
        <f ca="1">IFERROR(__xludf.DUMMYFUNCTION("""COMPUTED_VALUE"""),"F")</f>
        <v>F</v>
      </c>
      <c r="F1348" s="189" t="str">
        <f ca="1">IFERROR(__xludf.DUMMYFUNCTION("""COMPUTED_VALUE"""),"J")</f>
        <v>J</v>
      </c>
      <c r="G1348" s="189">
        <f ca="1">IFERROR(__xludf.DUMMYFUNCTION("""COMPUTED_VALUE"""),8)</f>
        <v>8</v>
      </c>
      <c r="H1348" s="196" t="s">
        <v>573</v>
      </c>
      <c r="I1348" s="196"/>
      <c r="J1348" s="196" t="s">
        <v>29</v>
      </c>
      <c r="K1348" s="196"/>
      <c r="L1348" s="196" t="str">
        <v xml:space="preserve"> 36.95</v>
      </c>
      <c r="M1348" s="196"/>
    </row>
    <row r="1349" spans="1:13" ht="14.4" x14ac:dyDescent="0.3">
      <c r="A1349" s="189" t="str">
        <f ca="1">IFERROR(__xludf.DUMMYFUNCTION("""COMPUTED_VALUE"""),"OH")</f>
        <v>OH</v>
      </c>
      <c r="B1349" s="195" t="str">
        <f ca="1">IFERROR(__xludf.DUMMYFUNCTION("""COMPUTED_VALUE"""),"Alex Aurilio")</f>
        <v>Alex Aurilio</v>
      </c>
      <c r="C1349" s="189">
        <f ca="1">IFERROR(__xludf.DUMMYFUNCTION("""COMPUTED_VALUE"""),7)</f>
        <v>7</v>
      </c>
      <c r="D1349" s="189" t="str">
        <f ca="1">IFERROR(__xludf.DUMMYFUNCTION("""COMPUTED_VALUE"""),"B")</f>
        <v>B</v>
      </c>
      <c r="E1349" s="189" t="str">
        <f ca="1">IFERROR(__xludf.DUMMYFUNCTION("""COMPUTED_VALUE"""),"F")</f>
        <v>F</v>
      </c>
      <c r="F1349" s="189" t="str">
        <f ca="1">IFERROR(__xludf.DUMMYFUNCTION("""COMPUTED_VALUE"""),"J")</f>
        <v>J</v>
      </c>
      <c r="G1349" s="189">
        <f ca="1">IFERROR(__xludf.DUMMYFUNCTION("""COMPUTED_VALUE"""),8)</f>
        <v>8</v>
      </c>
      <c r="H1349" s="196"/>
      <c r="I1349" s="196"/>
      <c r="J1349" s="196"/>
      <c r="K1349" s="196"/>
      <c r="L1349" s="196" t="str">
        <v/>
      </c>
      <c r="M1349" s="196"/>
    </row>
    <row r="1350" spans="1:13" ht="14.4" x14ac:dyDescent="0.3">
      <c r="A1350" s="189" t="str">
        <f ca="1">IFERROR(__xludf.DUMMYFUNCTION("""COMPUTED_VALUE"""),"OH")</f>
        <v>OH</v>
      </c>
      <c r="B1350" s="195" t="str">
        <f ca="1">IFERROR(__xludf.DUMMYFUNCTION("""COMPUTED_VALUE"""),"Amias Paz")</f>
        <v>Amias Paz</v>
      </c>
      <c r="C1350" s="189">
        <f ca="1">IFERROR(__xludf.DUMMYFUNCTION("""COMPUTED_VALUE"""),7)</f>
        <v>7</v>
      </c>
      <c r="D1350" s="189" t="str">
        <f ca="1">IFERROR(__xludf.DUMMYFUNCTION("""COMPUTED_VALUE"""),"B")</f>
        <v>B</v>
      </c>
      <c r="E1350" s="189" t="str">
        <f ca="1">IFERROR(__xludf.DUMMYFUNCTION("""COMPUTED_VALUE"""),"F")</f>
        <v>F</v>
      </c>
      <c r="F1350" s="189" t="str">
        <f ca="1">IFERROR(__xludf.DUMMYFUNCTION("""COMPUTED_VALUE"""),"J")</f>
        <v>J</v>
      </c>
      <c r="G1350" s="189">
        <f ca="1">IFERROR(__xludf.DUMMYFUNCTION("""COMPUTED_VALUE"""),8)</f>
        <v>8</v>
      </c>
      <c r="H1350" s="196" t="s">
        <v>574</v>
      </c>
      <c r="I1350" s="196"/>
      <c r="J1350" s="196" t="s">
        <v>29</v>
      </c>
      <c r="K1350" s="196"/>
      <c r="L1350" s="196" t="str">
        <v xml:space="preserve"> 10.00</v>
      </c>
      <c r="M1350" s="196"/>
    </row>
    <row r="1351" spans="1:13" ht="14.4" x14ac:dyDescent="0.3">
      <c r="A1351" s="189" t="str">
        <f ca="1">IFERROR(__xludf.DUMMYFUNCTION("""COMPUTED_VALUE"""),"OH")</f>
        <v>OH</v>
      </c>
      <c r="B1351" s="195" t="str">
        <f ca="1">IFERROR(__xludf.DUMMYFUNCTION("""COMPUTED_VALUE"""),"Brouk Yared")</f>
        <v>Brouk Yared</v>
      </c>
      <c r="C1351" s="189">
        <f ca="1">IFERROR(__xludf.DUMMYFUNCTION("""COMPUTED_VALUE"""),10)</f>
        <v>10</v>
      </c>
      <c r="D1351" s="189" t="str">
        <f ca="1">IFERROR(__xludf.DUMMYFUNCTION("""COMPUTED_VALUE"""),"B")</f>
        <v>B</v>
      </c>
      <c r="E1351" s="189" t="str">
        <f ca="1">IFERROR(__xludf.DUMMYFUNCTION("""COMPUTED_VALUE"""),"F")</f>
        <v>F</v>
      </c>
      <c r="F1351" s="189" t="str">
        <f ca="1">IFERROR(__xludf.DUMMYFUNCTION("""COMPUTED_VALUE"""),"J")</f>
        <v>J</v>
      </c>
      <c r="G1351" s="189">
        <f ca="1">IFERROR(__xludf.DUMMYFUNCTION("""COMPUTED_VALUE"""),8)</f>
        <v>8</v>
      </c>
      <c r="H1351" s="196"/>
      <c r="I1351" s="196"/>
      <c r="J1351" s="196"/>
      <c r="K1351" s="196"/>
      <c r="L1351" s="196" t="str">
        <v/>
      </c>
      <c r="M1351" s="196"/>
    </row>
    <row r="1352" spans="1:13" ht="14.4" x14ac:dyDescent="0.3">
      <c r="A1352" s="189" t="str">
        <f ca="1">IFERROR(__xludf.DUMMYFUNCTION("""COMPUTED_VALUE"""),"OH")</f>
        <v>OH</v>
      </c>
      <c r="B1352" s="195" t="str">
        <f ca="1">IFERROR(__xludf.DUMMYFUNCTION("""COMPUTED_VALUE"""),"CJ Petersen")</f>
        <v>CJ Petersen</v>
      </c>
      <c r="C1352" s="189">
        <f ca="1">IFERROR(__xludf.DUMMYFUNCTION("""COMPUTED_VALUE"""),9)</f>
        <v>9</v>
      </c>
      <c r="D1352" s="189" t="str">
        <f ca="1">IFERROR(__xludf.DUMMYFUNCTION("""COMPUTED_VALUE"""),"B")</f>
        <v>B</v>
      </c>
      <c r="E1352" s="189" t="str">
        <f ca="1">IFERROR(__xludf.DUMMYFUNCTION("""COMPUTED_VALUE"""),"F")</f>
        <v>F</v>
      </c>
      <c r="F1352" s="189" t="str">
        <f ca="1">IFERROR(__xludf.DUMMYFUNCTION("""COMPUTED_VALUE"""),"J")</f>
        <v>J</v>
      </c>
      <c r="G1352" s="189">
        <f ca="1">IFERROR(__xludf.DUMMYFUNCTION("""COMPUTED_VALUE"""),8)</f>
        <v>8</v>
      </c>
      <c r="H1352" s="196"/>
      <c r="I1352" s="196"/>
      <c r="J1352" s="196"/>
      <c r="K1352" s="196"/>
      <c r="L1352" s="196" t="str">
        <v/>
      </c>
      <c r="M1352" s="196"/>
    </row>
    <row r="1353" spans="1:13" ht="14.4" x14ac:dyDescent="0.3">
      <c r="A1353" s="189" t="str">
        <f ca="1">IFERROR(__xludf.DUMMYFUNCTION("""COMPUTED_VALUE"""),"OH")</f>
        <v>OH</v>
      </c>
      <c r="B1353" s="195" t="str">
        <f ca="1">IFERROR(__xludf.DUMMYFUNCTION("""COMPUTED_VALUE"""),"Ellis Constantine")</f>
        <v>Ellis Constantine</v>
      </c>
      <c r="C1353" s="189">
        <f ca="1">IFERROR(__xludf.DUMMYFUNCTION("""COMPUTED_VALUE"""),6)</f>
        <v>6</v>
      </c>
      <c r="D1353" s="189" t="str">
        <f ca="1">IFERROR(__xludf.DUMMYFUNCTION("""COMPUTED_VALUE"""),"B")</f>
        <v>B</v>
      </c>
      <c r="E1353" s="189" t="str">
        <f ca="1">IFERROR(__xludf.DUMMYFUNCTION("""COMPUTED_VALUE"""),"F")</f>
        <v>F</v>
      </c>
      <c r="F1353" s="189" t="str">
        <f ca="1">IFERROR(__xludf.DUMMYFUNCTION("""COMPUTED_VALUE"""),"J")</f>
        <v>J</v>
      </c>
      <c r="G1353" s="189">
        <f ca="1">IFERROR(__xludf.DUMMYFUNCTION("""COMPUTED_VALUE"""),8)</f>
        <v>8</v>
      </c>
      <c r="H1353" s="196" t="s">
        <v>575</v>
      </c>
      <c r="I1353" s="196"/>
      <c r="J1353" s="196" t="s">
        <v>29</v>
      </c>
      <c r="K1353" s="196"/>
      <c r="L1353" s="196" t="str">
        <v xml:space="preserve"> 8.75</v>
      </c>
      <c r="M1353" s="196"/>
    </row>
    <row r="1354" spans="1:13" ht="14.4" x14ac:dyDescent="0.3">
      <c r="A1354" s="189" t="str">
        <f ca="1">IFERROR(__xludf.DUMMYFUNCTION("""COMPUTED_VALUE"""),"OH")</f>
        <v>OH</v>
      </c>
      <c r="B1354" s="195" t="str">
        <f ca="1">IFERROR(__xludf.DUMMYFUNCTION("""COMPUTED_VALUE"""),"Kidus Yared")</f>
        <v>Kidus Yared</v>
      </c>
      <c r="C1354" s="189">
        <f ca="1">IFERROR(__xludf.DUMMYFUNCTION("""COMPUTED_VALUE"""),8)</f>
        <v>8</v>
      </c>
      <c r="D1354" s="189" t="str">
        <f ca="1">IFERROR(__xludf.DUMMYFUNCTION("""COMPUTED_VALUE"""),"B")</f>
        <v>B</v>
      </c>
      <c r="E1354" s="189" t="str">
        <f ca="1">IFERROR(__xludf.DUMMYFUNCTION("""COMPUTED_VALUE"""),"F")</f>
        <v>F</v>
      </c>
      <c r="F1354" s="189" t="str">
        <f ca="1">IFERROR(__xludf.DUMMYFUNCTION("""COMPUTED_VALUE"""),"J")</f>
        <v>J</v>
      </c>
      <c r="G1354" s="189">
        <f ca="1">IFERROR(__xludf.DUMMYFUNCTION("""COMPUTED_VALUE"""),8)</f>
        <v>8</v>
      </c>
      <c r="H1354" s="196"/>
      <c r="I1354" s="196"/>
      <c r="J1354" s="196"/>
      <c r="K1354" s="196"/>
      <c r="L1354" s="196" t="str">
        <v/>
      </c>
      <c r="M1354" s="196"/>
    </row>
    <row r="1355" spans="1:13" ht="14.4" x14ac:dyDescent="0.3">
      <c r="A1355" s="189" t="str">
        <f ca="1">IFERROR(__xludf.DUMMYFUNCTION("""COMPUTED_VALUE"""),"OH")</f>
        <v>OH</v>
      </c>
      <c r="B1355" s="195" t="str">
        <f ca="1">IFERROR(__xludf.DUMMYFUNCTION("""COMPUTED_VALUE"""),"Ronin Pickenheim")</f>
        <v>Ronin Pickenheim</v>
      </c>
      <c r="C1355" s="189">
        <f ca="1">IFERROR(__xludf.DUMMYFUNCTION("""COMPUTED_VALUE"""),7)</f>
        <v>7</v>
      </c>
      <c r="D1355" s="189" t="str">
        <f ca="1">IFERROR(__xludf.DUMMYFUNCTION("""COMPUTED_VALUE"""),"B")</f>
        <v>B</v>
      </c>
      <c r="E1355" s="189" t="str">
        <f ca="1">IFERROR(__xludf.DUMMYFUNCTION("""COMPUTED_VALUE"""),"F")</f>
        <v>F</v>
      </c>
      <c r="F1355" s="189" t="str">
        <f ca="1">IFERROR(__xludf.DUMMYFUNCTION("""COMPUTED_VALUE"""),"J")</f>
        <v>J</v>
      </c>
      <c r="G1355" s="189">
        <f ca="1">IFERROR(__xludf.DUMMYFUNCTION("""COMPUTED_VALUE"""),8)</f>
        <v>8</v>
      </c>
      <c r="H1355" s="196"/>
      <c r="I1355" s="196"/>
      <c r="J1355" s="196"/>
      <c r="K1355" s="196"/>
      <c r="L1355" s="196" t="str">
        <v/>
      </c>
      <c r="M1355" s="196"/>
    </row>
    <row r="1356" spans="1:13" ht="14.4" x14ac:dyDescent="0.3">
      <c r="A1356" s="189" t="str">
        <f ca="1">IFERROR(__xludf.DUMMYFUNCTION("""COMPUTED_VALUE"""),"OH")</f>
        <v>OH</v>
      </c>
      <c r="B1356" s="195" t="str">
        <f ca="1">IFERROR(__xludf.DUMMYFUNCTION("""COMPUTED_VALUE"""),"Wesley Johnson")</f>
        <v>Wesley Johnson</v>
      </c>
      <c r="C1356" s="189">
        <f ca="1">IFERROR(__xludf.DUMMYFUNCTION("""COMPUTED_VALUE"""),8)</f>
        <v>8</v>
      </c>
      <c r="D1356" s="189" t="str">
        <f ca="1">IFERROR(__xludf.DUMMYFUNCTION("""COMPUTED_VALUE"""),"B")</f>
        <v>B</v>
      </c>
      <c r="E1356" s="189" t="str">
        <f ca="1">IFERROR(__xludf.DUMMYFUNCTION("""COMPUTED_VALUE"""),"F")</f>
        <v>F</v>
      </c>
      <c r="F1356" s="189" t="str">
        <f ca="1">IFERROR(__xludf.DUMMYFUNCTION("""COMPUTED_VALUE"""),"J")</f>
        <v>J</v>
      </c>
      <c r="G1356" s="189">
        <f ca="1">IFERROR(__xludf.DUMMYFUNCTION("""COMPUTED_VALUE"""),8)</f>
        <v>8</v>
      </c>
      <c r="H1356" s="196"/>
      <c r="I1356" s="196"/>
      <c r="J1356" s="196"/>
      <c r="K1356" s="196"/>
      <c r="L1356" s="196" t="str">
        <v/>
      </c>
      <c r="M1356" s="196"/>
    </row>
    <row r="1357" spans="1:13" ht="14.4" x14ac:dyDescent="0.3">
      <c r="A1357" s="189" t="str">
        <f ca="1">IFERROR(__xludf.DUMMYFUNCTION("""COMPUTED_VALUE"""),"OH")</f>
        <v>OH</v>
      </c>
      <c r="B1357" s="195" t="str">
        <f ca="1">IFERROR(__xludf.DUMMYFUNCTION("""COMPUTED_VALUE"""),"Eima Riekse")</f>
        <v>Eima Riekse</v>
      </c>
      <c r="C1357" s="189">
        <f ca="1">IFERROR(__xludf.DUMMYFUNCTION("""COMPUTED_VALUE"""),13)</f>
        <v>13</v>
      </c>
      <c r="D1357" s="189" t="str">
        <f ca="1">IFERROR(__xludf.DUMMYFUNCTION("""COMPUTED_VALUE"""),"G")</f>
        <v>G</v>
      </c>
      <c r="E1357" s="189" t="str">
        <f ca="1">IFERROR(__xludf.DUMMYFUNCTION("""COMPUTED_VALUE"""),"I")</f>
        <v>I</v>
      </c>
      <c r="F1357" s="189" t="str">
        <f ca="1">IFERROR(__xludf.DUMMYFUNCTION("""COMPUTED_VALUE"""),"S")</f>
        <v>S</v>
      </c>
      <c r="G1357" s="189">
        <f ca="1">IFERROR(__xludf.DUMMYFUNCTION("""COMPUTED_VALUE"""),8)</f>
        <v>8</v>
      </c>
      <c r="H1357" s="196" t="s">
        <v>576</v>
      </c>
      <c r="I1357" s="196"/>
      <c r="J1357" s="196" t="s">
        <v>29</v>
      </c>
      <c r="K1357" s="196"/>
      <c r="L1357" s="196" t="str">
        <v xml:space="preserve"> 71.95</v>
      </c>
      <c r="M1357" s="196"/>
    </row>
    <row r="1358" spans="1:13" ht="14.4" x14ac:dyDescent="0.3">
      <c r="A1358" s="189" t="str">
        <f ca="1">IFERROR(__xludf.DUMMYFUNCTION("""COMPUTED_VALUE"""),"OH")</f>
        <v>OH</v>
      </c>
      <c r="B1358" s="195" t="str">
        <f ca="1">IFERROR(__xludf.DUMMYFUNCTION("""COMPUTED_VALUE"""),"Elia Mazerolle")</f>
        <v>Elia Mazerolle</v>
      </c>
      <c r="C1358" s="189">
        <f ca="1">IFERROR(__xludf.DUMMYFUNCTION("""COMPUTED_VALUE"""),13)</f>
        <v>13</v>
      </c>
      <c r="D1358" s="189" t="str">
        <f ca="1">IFERROR(__xludf.DUMMYFUNCTION("""COMPUTED_VALUE"""),"G")</f>
        <v>G</v>
      </c>
      <c r="E1358" s="189" t="str">
        <f ca="1">IFERROR(__xludf.DUMMYFUNCTION("""COMPUTED_VALUE"""),"I")</f>
        <v>I</v>
      </c>
      <c r="F1358" s="189" t="str">
        <f ca="1">IFERROR(__xludf.DUMMYFUNCTION("""COMPUTED_VALUE"""),"S")</f>
        <v>S</v>
      </c>
      <c r="G1358" s="189">
        <f ca="1">IFERROR(__xludf.DUMMYFUNCTION("""COMPUTED_VALUE"""),8)</f>
        <v>8</v>
      </c>
      <c r="H1358" s="196" t="s">
        <v>577</v>
      </c>
      <c r="I1358" s="196"/>
      <c r="J1358" s="196" t="s">
        <v>29</v>
      </c>
      <c r="K1358" s="196"/>
      <c r="L1358" s="196" t="str">
        <v xml:space="preserve"> 90.00</v>
      </c>
      <c r="M1358" s="196"/>
    </row>
    <row r="1359" spans="1:13" ht="14.4" x14ac:dyDescent="0.3">
      <c r="A1359" s="189" t="str">
        <f ca="1">IFERROR(__xludf.DUMMYFUNCTION("""COMPUTED_VALUE"""),"OH")</f>
        <v>OH</v>
      </c>
      <c r="B1359" s="195" t="str">
        <f ca="1">IFERROR(__xludf.DUMMYFUNCTION("""COMPUTED_VALUE"""),"Peyton Moro")</f>
        <v>Peyton Moro</v>
      </c>
      <c r="C1359" s="189">
        <f ca="1">IFERROR(__xludf.DUMMYFUNCTION("""COMPUTED_VALUE"""),13)</f>
        <v>13</v>
      </c>
      <c r="D1359" s="189" t="str">
        <f ca="1">IFERROR(__xludf.DUMMYFUNCTION("""COMPUTED_VALUE"""),"G")</f>
        <v>G</v>
      </c>
      <c r="E1359" s="189" t="str">
        <f ca="1">IFERROR(__xludf.DUMMYFUNCTION("""COMPUTED_VALUE"""),"I")</f>
        <v>I</v>
      </c>
      <c r="F1359" s="189" t="str">
        <f ca="1">IFERROR(__xludf.DUMMYFUNCTION("""COMPUTED_VALUE"""),"S")</f>
        <v>S</v>
      </c>
      <c r="G1359" s="189">
        <f ca="1">IFERROR(__xludf.DUMMYFUNCTION("""COMPUTED_VALUE"""),8)</f>
        <v>8</v>
      </c>
      <c r="H1359" s="196" t="s">
        <v>221</v>
      </c>
      <c r="I1359" s="196"/>
      <c r="J1359" s="196" t="s">
        <v>29</v>
      </c>
      <c r="K1359" s="196"/>
      <c r="L1359" s="196" t="str">
        <v xml:space="preserve"> 83.05</v>
      </c>
      <c r="M1359" s="196"/>
    </row>
    <row r="1360" spans="1:13" ht="14.4" x14ac:dyDescent="0.3">
      <c r="A1360" s="189" t="str">
        <f ca="1">IFERROR(__xludf.DUMMYFUNCTION("""COMPUTED_VALUE"""),"OH")</f>
        <v>OH</v>
      </c>
      <c r="B1360" s="195" t="str">
        <f ca="1">IFERROR(__xludf.DUMMYFUNCTION("""COMPUTED_VALUE"""),"Ralitsa Kostova")</f>
        <v>Ralitsa Kostova</v>
      </c>
      <c r="C1360" s="189">
        <f ca="1">IFERROR(__xludf.DUMMYFUNCTION("""COMPUTED_VALUE"""),13)</f>
        <v>13</v>
      </c>
      <c r="D1360" s="189" t="str">
        <f ca="1">IFERROR(__xludf.DUMMYFUNCTION("""COMPUTED_VALUE"""),"G")</f>
        <v>G</v>
      </c>
      <c r="E1360" s="189" t="str">
        <f ca="1">IFERROR(__xludf.DUMMYFUNCTION("""COMPUTED_VALUE"""),"I")</f>
        <v>I</v>
      </c>
      <c r="F1360" s="189" t="str">
        <f ca="1">IFERROR(__xludf.DUMMYFUNCTION("""COMPUTED_VALUE"""),"S")</f>
        <v>S</v>
      </c>
      <c r="G1360" s="189">
        <f ca="1">IFERROR(__xludf.DUMMYFUNCTION("""COMPUTED_VALUE"""),8)</f>
        <v>8</v>
      </c>
      <c r="H1360" s="196"/>
      <c r="I1360" s="196"/>
      <c r="J1360" s="196"/>
      <c r="K1360" s="196"/>
      <c r="L1360" s="196" t="str">
        <v/>
      </c>
      <c r="M1360" s="196"/>
    </row>
    <row r="1361" spans="1:13" ht="14.4" x14ac:dyDescent="0.3">
      <c r="A1361" s="189" t="str">
        <f ca="1">IFERROR(__xludf.DUMMYFUNCTION("""COMPUTED_VALUE"""),"OH")</f>
        <v>OH</v>
      </c>
      <c r="B1361" s="195" t="str">
        <f ca="1">IFERROR(__xludf.DUMMYFUNCTION("""COMPUTED_VALUE"""),"Rebecca Drobnis")</f>
        <v>Rebecca Drobnis</v>
      </c>
      <c r="C1361" s="189">
        <f ca="1">IFERROR(__xludf.DUMMYFUNCTION("""COMPUTED_VALUE"""),14)</f>
        <v>14</v>
      </c>
      <c r="D1361" s="189" t="str">
        <f ca="1">IFERROR(__xludf.DUMMYFUNCTION("""COMPUTED_VALUE"""),"G")</f>
        <v>G</v>
      </c>
      <c r="E1361" s="189" t="str">
        <f ca="1">IFERROR(__xludf.DUMMYFUNCTION("""COMPUTED_VALUE"""),"I")</f>
        <v>I</v>
      </c>
      <c r="F1361" s="189" t="str">
        <f ca="1">IFERROR(__xludf.DUMMYFUNCTION("""COMPUTED_VALUE"""),"S")</f>
        <v>S</v>
      </c>
      <c r="G1361" s="189">
        <f ca="1">IFERROR(__xludf.DUMMYFUNCTION("""COMPUTED_VALUE"""),8)</f>
        <v>8</v>
      </c>
      <c r="H1361" s="196" t="s">
        <v>578</v>
      </c>
      <c r="I1361" s="196"/>
      <c r="J1361" s="196" t="s">
        <v>64</v>
      </c>
      <c r="K1361" s="196"/>
      <c r="L1361" s="196" t="str">
        <v xml:space="preserve"> -140.50</v>
      </c>
      <c r="M1361" s="196"/>
    </row>
    <row r="1362" spans="1:13" ht="14.4" x14ac:dyDescent="0.3">
      <c r="A1362" s="189" t="str">
        <f ca="1">IFERROR(__xludf.DUMMYFUNCTION("""COMPUTED_VALUE"""),"OH")</f>
        <v>OH</v>
      </c>
      <c r="B1362" s="195" t="str">
        <f ca="1">IFERROR(__xludf.DUMMYFUNCTION("""COMPUTED_VALUE"""),"Caleb Urias")</f>
        <v>Caleb Urias</v>
      </c>
      <c r="C1362" s="189">
        <f ca="1">IFERROR(__xludf.DUMMYFUNCTION("""COMPUTED_VALUE"""),14)</f>
        <v>14</v>
      </c>
      <c r="D1362" s="189" t="str">
        <f ca="1">IFERROR(__xludf.DUMMYFUNCTION("""COMPUTED_VALUE"""),"B")</f>
        <v>B</v>
      </c>
      <c r="E1362" s="189" t="str">
        <f ca="1">IFERROR(__xludf.DUMMYFUNCTION("""COMPUTED_VALUE"""),"I")</f>
        <v>I</v>
      </c>
      <c r="F1362" s="189" t="str">
        <f ca="1">IFERROR(__xludf.DUMMYFUNCTION("""COMPUTED_VALUE"""),"S")</f>
        <v>S</v>
      </c>
      <c r="G1362" s="189">
        <f ca="1">IFERROR(__xludf.DUMMYFUNCTION("""COMPUTED_VALUE"""),8)</f>
        <v>8</v>
      </c>
      <c r="H1362" s="196"/>
      <c r="I1362" s="196"/>
      <c r="J1362" s="196"/>
      <c r="K1362" s="196"/>
      <c r="L1362" s="196" t="str">
        <v/>
      </c>
      <c r="M1362" s="196"/>
    </row>
    <row r="1363" spans="1:13" ht="14.4" x14ac:dyDescent="0.3">
      <c r="A1363" s="189" t="str">
        <f ca="1">IFERROR(__xludf.DUMMYFUNCTION("""COMPUTED_VALUE"""),"OH")</f>
        <v>OH</v>
      </c>
      <c r="B1363" s="195" t="str">
        <f ca="1">IFERROR(__xludf.DUMMYFUNCTION("""COMPUTED_VALUE"""),"Eli Edwards")</f>
        <v>Eli Edwards</v>
      </c>
      <c r="C1363" s="189">
        <f ca="1">IFERROR(__xludf.DUMMYFUNCTION("""COMPUTED_VALUE"""),13)</f>
        <v>13</v>
      </c>
      <c r="D1363" s="189" t="str">
        <f ca="1">IFERROR(__xludf.DUMMYFUNCTION("""COMPUTED_VALUE"""),"B")</f>
        <v>B</v>
      </c>
      <c r="E1363" s="189" t="str">
        <f ca="1">IFERROR(__xludf.DUMMYFUNCTION("""COMPUTED_VALUE"""),"I")</f>
        <v>I</v>
      </c>
      <c r="F1363" s="189" t="str">
        <f ca="1">IFERROR(__xludf.DUMMYFUNCTION("""COMPUTED_VALUE"""),"S")</f>
        <v>S</v>
      </c>
      <c r="G1363" s="189">
        <f ca="1">IFERROR(__xludf.DUMMYFUNCTION("""COMPUTED_VALUE"""),8)</f>
        <v>8</v>
      </c>
      <c r="H1363" s="196" t="s">
        <v>453</v>
      </c>
      <c r="I1363" s="196"/>
      <c r="J1363" s="196" t="s">
        <v>29</v>
      </c>
      <c r="K1363" s="196"/>
      <c r="L1363" s="196" t="str">
        <v xml:space="preserve"> 122.90</v>
      </c>
      <c r="M1363" s="196"/>
    </row>
    <row r="1364" spans="1:13" ht="14.4" x14ac:dyDescent="0.3">
      <c r="A1364" s="189" t="str">
        <f ca="1">IFERROR(__xludf.DUMMYFUNCTION("""COMPUTED_VALUE"""),"OH")</f>
        <v>OH</v>
      </c>
      <c r="B1364" s="195" t="str">
        <f ca="1">IFERROR(__xludf.DUMMYFUNCTION("""COMPUTED_VALUE"""),"Emilie Beltz")</f>
        <v>Emilie Beltz</v>
      </c>
      <c r="C1364" s="189">
        <f ca="1">IFERROR(__xludf.DUMMYFUNCTION("""COMPUTED_VALUE"""),12)</f>
        <v>12</v>
      </c>
      <c r="D1364" s="189" t="str">
        <f ca="1">IFERROR(__xludf.DUMMYFUNCTION("""COMPUTED_VALUE"""),"G")</f>
        <v>G</v>
      </c>
      <c r="E1364" s="189" t="str">
        <f ca="1">IFERROR(__xludf.DUMMYFUNCTION("""COMPUTED_VALUE"""),"J")</f>
        <v>J</v>
      </c>
      <c r="F1364" s="189" t="str">
        <f ca="1">IFERROR(__xludf.DUMMYFUNCTION("""COMPUTED_VALUE"""),"I")</f>
        <v>I</v>
      </c>
      <c r="G1364" s="189">
        <f ca="1">IFERROR(__xludf.DUMMYFUNCTION("""COMPUTED_VALUE"""),8)</f>
        <v>8</v>
      </c>
      <c r="H1364" s="196" t="s">
        <v>316</v>
      </c>
      <c r="I1364" s="196"/>
      <c r="J1364" s="196" t="s">
        <v>29</v>
      </c>
      <c r="K1364" s="196"/>
      <c r="L1364" s="196" t="str">
        <v xml:space="preserve"> 63.05</v>
      </c>
      <c r="M1364" s="196"/>
    </row>
    <row r="1365" spans="1:13" ht="14.4" x14ac:dyDescent="0.3">
      <c r="A1365" s="189" t="str">
        <f ca="1">IFERROR(__xludf.DUMMYFUNCTION("""COMPUTED_VALUE"""),"OH")</f>
        <v>OH</v>
      </c>
      <c r="B1365" s="195" t="str">
        <f ca="1">IFERROR(__xludf.DUMMYFUNCTION("""COMPUTED_VALUE"""),"Evelyn Emmert")</f>
        <v>Evelyn Emmert</v>
      </c>
      <c r="C1365" s="189">
        <f ca="1">IFERROR(__xludf.DUMMYFUNCTION("""COMPUTED_VALUE"""),11)</f>
        <v>11</v>
      </c>
      <c r="D1365" s="189" t="str">
        <f ca="1">IFERROR(__xludf.DUMMYFUNCTION("""COMPUTED_VALUE"""),"G")</f>
        <v>G</v>
      </c>
      <c r="E1365" s="189" t="str">
        <f ca="1">IFERROR(__xludf.DUMMYFUNCTION("""COMPUTED_VALUE"""),"J")</f>
        <v>J</v>
      </c>
      <c r="F1365" s="189" t="str">
        <f ca="1">IFERROR(__xludf.DUMMYFUNCTION("""COMPUTED_VALUE"""),"I")</f>
        <v>I</v>
      </c>
      <c r="G1365" s="189">
        <f ca="1">IFERROR(__xludf.DUMMYFUNCTION("""COMPUTED_VALUE"""),8)</f>
        <v>8</v>
      </c>
      <c r="H1365" s="196"/>
      <c r="I1365" s="196"/>
      <c r="J1365" s="196"/>
      <c r="K1365" s="196"/>
      <c r="L1365" s="196" t="str">
        <v/>
      </c>
      <c r="M1365" s="196"/>
    </row>
    <row r="1366" spans="1:13" ht="14.4" x14ac:dyDescent="0.3">
      <c r="A1366" s="189" t="str">
        <f ca="1">IFERROR(__xludf.DUMMYFUNCTION("""COMPUTED_VALUE"""),"OH")</f>
        <v>OH</v>
      </c>
      <c r="B1366" s="195" t="str">
        <f ca="1">IFERROR(__xludf.DUMMYFUNCTION("""COMPUTED_VALUE"""),"Gabby Heredia")</f>
        <v>Gabby Heredia</v>
      </c>
      <c r="C1366" s="189">
        <f ca="1">IFERROR(__xludf.DUMMYFUNCTION("""COMPUTED_VALUE"""),11)</f>
        <v>11</v>
      </c>
      <c r="D1366" s="189" t="str">
        <f ca="1">IFERROR(__xludf.DUMMYFUNCTION("""COMPUTED_VALUE"""),"G")</f>
        <v>G</v>
      </c>
      <c r="E1366" s="189" t="str">
        <f ca="1">IFERROR(__xludf.DUMMYFUNCTION("""COMPUTED_VALUE"""),"J")</f>
        <v>J</v>
      </c>
      <c r="F1366" s="189" t="str">
        <f ca="1">IFERROR(__xludf.DUMMYFUNCTION("""COMPUTED_VALUE"""),"I")</f>
        <v>I</v>
      </c>
      <c r="G1366" s="189">
        <f ca="1">IFERROR(__xludf.DUMMYFUNCTION("""COMPUTED_VALUE"""),8)</f>
        <v>8</v>
      </c>
      <c r="H1366" s="196" t="s">
        <v>140</v>
      </c>
      <c r="I1366" s="196"/>
      <c r="J1366" s="196" t="s">
        <v>29</v>
      </c>
      <c r="K1366" s="196"/>
      <c r="L1366" s="196" t="str">
        <v xml:space="preserve"> 53.00</v>
      </c>
      <c r="M1366" s="196"/>
    </row>
    <row r="1367" spans="1:13" ht="14.4" x14ac:dyDescent="0.3">
      <c r="A1367" s="189" t="str">
        <f ca="1">IFERROR(__xludf.DUMMYFUNCTION("""COMPUTED_VALUE"""),"OH")</f>
        <v>OH</v>
      </c>
      <c r="B1367" s="195" t="str">
        <f ca="1">IFERROR(__xludf.DUMMYFUNCTION("""COMPUTED_VALUE"""),"Gaby Kostova")</f>
        <v>Gaby Kostova</v>
      </c>
      <c r="C1367" s="189">
        <f ca="1">IFERROR(__xludf.DUMMYFUNCTION("""COMPUTED_VALUE"""),11)</f>
        <v>11</v>
      </c>
      <c r="D1367" s="189" t="str">
        <f ca="1">IFERROR(__xludf.DUMMYFUNCTION("""COMPUTED_VALUE"""),"G")</f>
        <v>G</v>
      </c>
      <c r="E1367" s="189" t="str">
        <f ca="1">IFERROR(__xludf.DUMMYFUNCTION("""COMPUTED_VALUE"""),"J")</f>
        <v>J</v>
      </c>
      <c r="F1367" s="189" t="str">
        <f ca="1">IFERROR(__xludf.DUMMYFUNCTION("""COMPUTED_VALUE"""),"I")</f>
        <v>I</v>
      </c>
      <c r="G1367" s="189">
        <f ca="1">IFERROR(__xludf.DUMMYFUNCTION("""COMPUTED_VALUE"""),8)</f>
        <v>8</v>
      </c>
      <c r="H1367" s="196" t="s">
        <v>579</v>
      </c>
      <c r="I1367" s="196"/>
      <c r="J1367" s="196" t="s">
        <v>29</v>
      </c>
      <c r="K1367" s="196"/>
      <c r="L1367" s="196" t="str">
        <v xml:space="preserve"> 60.85</v>
      </c>
      <c r="M1367" s="196"/>
    </row>
    <row r="1368" spans="1:13" ht="14.4" x14ac:dyDescent="0.3">
      <c r="A1368" s="189" t="str">
        <f ca="1">IFERROR(__xludf.DUMMYFUNCTION("""COMPUTED_VALUE"""),"OH")</f>
        <v>OH</v>
      </c>
      <c r="B1368" s="195" t="str">
        <f ca="1">IFERROR(__xludf.DUMMYFUNCTION("""COMPUTED_VALUE"""),"Hailey Randazzo")</f>
        <v>Hailey Randazzo</v>
      </c>
      <c r="C1368" s="189">
        <f ca="1">IFERROR(__xludf.DUMMYFUNCTION("""COMPUTED_VALUE"""),12)</f>
        <v>12</v>
      </c>
      <c r="D1368" s="189" t="str">
        <f ca="1">IFERROR(__xludf.DUMMYFUNCTION("""COMPUTED_VALUE"""),"G")</f>
        <v>G</v>
      </c>
      <c r="E1368" s="189" t="str">
        <f ca="1">IFERROR(__xludf.DUMMYFUNCTION("""COMPUTED_VALUE"""),"J")</f>
        <v>J</v>
      </c>
      <c r="F1368" s="189" t="str">
        <f ca="1">IFERROR(__xludf.DUMMYFUNCTION("""COMPUTED_VALUE"""),"I")</f>
        <v>I</v>
      </c>
      <c r="G1368" s="189">
        <f ca="1">IFERROR(__xludf.DUMMYFUNCTION("""COMPUTED_VALUE"""),8)</f>
        <v>8</v>
      </c>
      <c r="H1368" s="196" t="s">
        <v>580</v>
      </c>
      <c r="I1368" s="196"/>
      <c r="J1368" s="196" t="s">
        <v>29</v>
      </c>
      <c r="K1368" s="196"/>
      <c r="L1368" s="196" t="str">
        <v xml:space="preserve"> 74.85</v>
      </c>
      <c r="M1368" s="196"/>
    </row>
    <row r="1369" spans="1:13" ht="14.4" x14ac:dyDescent="0.3">
      <c r="A1369" s="189" t="str">
        <f ca="1">IFERROR(__xludf.DUMMYFUNCTION("""COMPUTED_VALUE"""),"OH")</f>
        <v>OH</v>
      </c>
      <c r="B1369" s="195" t="str">
        <f ca="1">IFERROR(__xludf.DUMMYFUNCTION("""COMPUTED_VALUE"""),"Kyla Calkins")</f>
        <v>Kyla Calkins</v>
      </c>
      <c r="C1369" s="189">
        <f ca="1">IFERROR(__xludf.DUMMYFUNCTION("""COMPUTED_VALUE"""),12)</f>
        <v>12</v>
      </c>
      <c r="D1369" s="189" t="str">
        <f ca="1">IFERROR(__xludf.DUMMYFUNCTION("""COMPUTED_VALUE"""),"G")</f>
        <v>G</v>
      </c>
      <c r="E1369" s="189" t="str">
        <f ca="1">IFERROR(__xludf.DUMMYFUNCTION("""COMPUTED_VALUE"""),"J")</f>
        <v>J</v>
      </c>
      <c r="F1369" s="189" t="str">
        <f ca="1">IFERROR(__xludf.DUMMYFUNCTION("""COMPUTED_VALUE"""),"I")</f>
        <v>I</v>
      </c>
      <c r="G1369" s="189">
        <f ca="1">IFERROR(__xludf.DUMMYFUNCTION("""COMPUTED_VALUE"""),8)</f>
        <v>8</v>
      </c>
      <c r="H1369" s="196"/>
      <c r="I1369" s="196"/>
      <c r="J1369" s="196"/>
      <c r="K1369" s="196"/>
      <c r="L1369" s="196" t="str">
        <v/>
      </c>
      <c r="M1369" s="196"/>
    </row>
    <row r="1370" spans="1:13" ht="14.4" x14ac:dyDescent="0.3">
      <c r="A1370" s="189" t="str">
        <f ca="1">IFERROR(__xludf.DUMMYFUNCTION("""COMPUTED_VALUE"""),"OH")</f>
        <v>OH</v>
      </c>
      <c r="B1370" s="195" t="str">
        <f ca="1">IFERROR(__xludf.DUMMYFUNCTION("""COMPUTED_VALUE"""),"Lourdes Schvind")</f>
        <v>Lourdes Schvind</v>
      </c>
      <c r="C1370" s="189">
        <f ca="1">IFERROR(__xludf.DUMMYFUNCTION("""COMPUTED_VALUE"""),12)</f>
        <v>12</v>
      </c>
      <c r="D1370" s="189" t="str">
        <f ca="1">IFERROR(__xludf.DUMMYFUNCTION("""COMPUTED_VALUE"""),"G")</f>
        <v>G</v>
      </c>
      <c r="E1370" s="189" t="str">
        <f ca="1">IFERROR(__xludf.DUMMYFUNCTION("""COMPUTED_VALUE"""),"J")</f>
        <v>J</v>
      </c>
      <c r="F1370" s="189" t="str">
        <f ca="1">IFERROR(__xludf.DUMMYFUNCTION("""COMPUTED_VALUE"""),"I")</f>
        <v>I</v>
      </c>
      <c r="G1370" s="189">
        <f ca="1">IFERROR(__xludf.DUMMYFUNCTION("""COMPUTED_VALUE"""),8)</f>
        <v>8</v>
      </c>
      <c r="H1370" s="196"/>
      <c r="I1370" s="196"/>
      <c r="J1370" s="196"/>
      <c r="K1370" s="196"/>
      <c r="L1370" s="196" t="str">
        <v/>
      </c>
      <c r="M1370" s="196"/>
    </row>
    <row r="1371" spans="1:13" ht="14.4" x14ac:dyDescent="0.3">
      <c r="A1371" s="189" t="str">
        <f ca="1">IFERROR(__xludf.DUMMYFUNCTION("""COMPUTED_VALUE"""),"OH")</f>
        <v>OH</v>
      </c>
      <c r="B1371" s="195" t="str">
        <f ca="1">IFERROR(__xludf.DUMMYFUNCTION("""COMPUTED_VALUE"""),"Maddy Orluk")</f>
        <v>Maddy Orluk</v>
      </c>
      <c r="C1371" s="189">
        <f ca="1">IFERROR(__xludf.DUMMYFUNCTION("""COMPUTED_VALUE"""),11)</f>
        <v>11</v>
      </c>
      <c r="D1371" s="189" t="str">
        <f ca="1">IFERROR(__xludf.DUMMYFUNCTION("""COMPUTED_VALUE"""),"G")</f>
        <v>G</v>
      </c>
      <c r="E1371" s="189" t="str">
        <f ca="1">IFERROR(__xludf.DUMMYFUNCTION("""COMPUTED_VALUE"""),"J")</f>
        <v>J</v>
      </c>
      <c r="F1371" s="189" t="str">
        <f ca="1">IFERROR(__xludf.DUMMYFUNCTION("""COMPUTED_VALUE"""),"I")</f>
        <v>I</v>
      </c>
      <c r="G1371" s="189">
        <f ca="1">IFERROR(__xludf.DUMMYFUNCTION("""COMPUTED_VALUE"""),8)</f>
        <v>8</v>
      </c>
      <c r="H1371" s="196"/>
      <c r="I1371" s="196"/>
      <c r="J1371" s="196"/>
      <c r="K1371" s="196"/>
      <c r="L1371" s="196" t="str">
        <v/>
      </c>
      <c r="M1371" s="196"/>
    </row>
    <row r="1372" spans="1:13" ht="14.4" x14ac:dyDescent="0.3">
      <c r="A1372" s="189" t="str">
        <f ca="1">IFERROR(__xludf.DUMMYFUNCTION("""COMPUTED_VALUE"""),"OH")</f>
        <v>OH</v>
      </c>
      <c r="B1372" s="195" t="str">
        <f ca="1">IFERROR(__xludf.DUMMYFUNCTION("""COMPUTED_VALUE"""),"Sofia Petersen")</f>
        <v>Sofia Petersen</v>
      </c>
      <c r="C1372" s="189">
        <f ca="1">IFERROR(__xludf.DUMMYFUNCTION("""COMPUTED_VALUE"""),12)</f>
        <v>12</v>
      </c>
      <c r="D1372" s="189" t="str">
        <f ca="1">IFERROR(__xludf.DUMMYFUNCTION("""COMPUTED_VALUE"""),"G")</f>
        <v>G</v>
      </c>
      <c r="E1372" s="189" t="str">
        <f ca="1">IFERROR(__xludf.DUMMYFUNCTION("""COMPUTED_VALUE"""),"J")</f>
        <v>J</v>
      </c>
      <c r="F1372" s="189" t="str">
        <f ca="1">IFERROR(__xludf.DUMMYFUNCTION("""COMPUTED_VALUE"""),"I")</f>
        <v>I</v>
      </c>
      <c r="G1372" s="189">
        <f ca="1">IFERROR(__xludf.DUMMYFUNCTION("""COMPUTED_VALUE"""),8)</f>
        <v>8</v>
      </c>
      <c r="H1372" s="196" t="s">
        <v>581</v>
      </c>
      <c r="I1372" s="196"/>
      <c r="J1372" s="196" t="s">
        <v>29</v>
      </c>
      <c r="K1372" s="196"/>
      <c r="L1372" s="196" t="str">
        <v xml:space="preserve"> 43.70</v>
      </c>
      <c r="M1372" s="196"/>
    </row>
    <row r="1373" spans="1:13" ht="14.4" x14ac:dyDescent="0.3">
      <c r="A1373" s="189" t="str">
        <f ca="1">IFERROR(__xludf.DUMMYFUNCTION("""COMPUTED_VALUE"""),"OH")</f>
        <v>OH</v>
      </c>
      <c r="B1373" s="195" t="str">
        <f ca="1">IFERROR(__xludf.DUMMYFUNCTION("""COMPUTED_VALUE"""),"Harrison Crosby")</f>
        <v>Harrison Crosby</v>
      </c>
      <c r="C1373" s="189">
        <f ca="1">IFERROR(__xludf.DUMMYFUNCTION("""COMPUTED_VALUE"""),12)</f>
        <v>12</v>
      </c>
      <c r="D1373" s="189" t="str">
        <f ca="1">IFERROR(__xludf.DUMMYFUNCTION("""COMPUTED_VALUE"""),"B")</f>
        <v>B</v>
      </c>
      <c r="E1373" s="189" t="str">
        <f ca="1">IFERROR(__xludf.DUMMYFUNCTION("""COMPUTED_VALUE"""),"J")</f>
        <v>J</v>
      </c>
      <c r="F1373" s="189" t="str">
        <f ca="1">IFERROR(__xludf.DUMMYFUNCTION("""COMPUTED_VALUE"""),"I")</f>
        <v>I</v>
      </c>
      <c r="G1373" s="189">
        <f ca="1">IFERROR(__xludf.DUMMYFUNCTION("""COMPUTED_VALUE"""),8)</f>
        <v>8</v>
      </c>
      <c r="H1373" s="196"/>
      <c r="I1373" s="196"/>
      <c r="J1373" s="196"/>
      <c r="K1373" s="196"/>
      <c r="L1373" s="196" t="str">
        <v/>
      </c>
      <c r="M1373" s="196"/>
    </row>
    <row r="1374" spans="1:13" ht="14.4" x14ac:dyDescent="0.3">
      <c r="A1374" s="189" t="str">
        <f ca="1">IFERROR(__xludf.DUMMYFUNCTION("""COMPUTED_VALUE"""),"OH")</f>
        <v>OH</v>
      </c>
      <c r="B1374" s="195" t="str">
        <f ca="1">IFERROR(__xludf.DUMMYFUNCTION("""COMPUTED_VALUE"""),"Jake Spears")</f>
        <v>Jake Spears</v>
      </c>
      <c r="C1374" s="189">
        <f ca="1">IFERROR(__xludf.DUMMYFUNCTION("""COMPUTED_VALUE"""),11)</f>
        <v>11</v>
      </c>
      <c r="D1374" s="189" t="str">
        <f ca="1">IFERROR(__xludf.DUMMYFUNCTION("""COMPUTED_VALUE"""),"B")</f>
        <v>B</v>
      </c>
      <c r="E1374" s="189" t="str">
        <f ca="1">IFERROR(__xludf.DUMMYFUNCTION("""COMPUTED_VALUE"""),"J")</f>
        <v>J</v>
      </c>
      <c r="F1374" s="189" t="str">
        <f ca="1">IFERROR(__xludf.DUMMYFUNCTION("""COMPUTED_VALUE"""),"I")</f>
        <v>I</v>
      </c>
      <c r="G1374" s="189">
        <f ca="1">IFERROR(__xludf.DUMMYFUNCTION("""COMPUTED_VALUE"""),8)</f>
        <v>8</v>
      </c>
      <c r="H1374" s="196"/>
      <c r="I1374" s="196"/>
      <c r="J1374" s="196"/>
      <c r="K1374" s="196"/>
      <c r="L1374" s="196" t="str">
        <v/>
      </c>
      <c r="M1374" s="196"/>
    </row>
    <row r="1375" spans="1:13" ht="14.4" x14ac:dyDescent="0.3">
      <c r="A1375" s="189" t="str">
        <f ca="1">IFERROR(__xludf.DUMMYFUNCTION("""COMPUTED_VALUE"""),"OH")</f>
        <v>OH</v>
      </c>
      <c r="B1375" s="195" t="str">
        <f ca="1">IFERROR(__xludf.DUMMYFUNCTION("""COMPUTED_VALUE"""),"Lucas Lynn")</f>
        <v>Lucas Lynn</v>
      </c>
      <c r="C1375" s="189">
        <f ca="1">IFERROR(__xludf.DUMMYFUNCTION("""COMPUTED_VALUE"""),11)</f>
        <v>11</v>
      </c>
      <c r="D1375" s="189" t="str">
        <f ca="1">IFERROR(__xludf.DUMMYFUNCTION("""COMPUTED_VALUE"""),"B")</f>
        <v>B</v>
      </c>
      <c r="E1375" s="189" t="str">
        <f ca="1">IFERROR(__xludf.DUMMYFUNCTION("""COMPUTED_VALUE"""),"J")</f>
        <v>J</v>
      </c>
      <c r="F1375" s="189" t="str">
        <f ca="1">IFERROR(__xludf.DUMMYFUNCTION("""COMPUTED_VALUE"""),"I")</f>
        <v>I</v>
      </c>
      <c r="G1375" s="189">
        <f ca="1">IFERROR(__xludf.DUMMYFUNCTION("""COMPUTED_VALUE"""),8)</f>
        <v>8</v>
      </c>
      <c r="H1375" s="196"/>
      <c r="I1375" s="196"/>
      <c r="J1375" s="196"/>
      <c r="K1375" s="196"/>
      <c r="L1375" s="196" t="str">
        <v/>
      </c>
      <c r="M1375" s="196"/>
    </row>
    <row r="1376" spans="1:13" ht="14.4" x14ac:dyDescent="0.3">
      <c r="A1376" s="189" t="str">
        <f ca="1">IFERROR(__xludf.DUMMYFUNCTION("""COMPUTED_VALUE"""),"OH")</f>
        <v>OH</v>
      </c>
      <c r="B1376" s="195" t="str">
        <f ca="1">IFERROR(__xludf.DUMMYFUNCTION("""COMPUTED_VALUE"""),"Zane Pickenheim")</f>
        <v>Zane Pickenheim</v>
      </c>
      <c r="C1376" s="189">
        <f ca="1">IFERROR(__xludf.DUMMYFUNCTION("""COMPUTED_VALUE"""),12)</f>
        <v>12</v>
      </c>
      <c r="D1376" s="189" t="str">
        <f ca="1">IFERROR(__xludf.DUMMYFUNCTION("""COMPUTED_VALUE"""),"B")</f>
        <v>B</v>
      </c>
      <c r="E1376" s="189" t="str">
        <f ca="1">IFERROR(__xludf.DUMMYFUNCTION("""COMPUTED_VALUE"""),"J")</f>
        <v>J</v>
      </c>
      <c r="F1376" s="189" t="str">
        <f ca="1">IFERROR(__xludf.DUMMYFUNCTION("""COMPUTED_VALUE"""),"I")</f>
        <v>I</v>
      </c>
      <c r="G1376" s="189">
        <f ca="1">IFERROR(__xludf.DUMMYFUNCTION("""COMPUTED_VALUE"""),8)</f>
        <v>8</v>
      </c>
      <c r="H1376" s="196"/>
      <c r="I1376" s="196"/>
      <c r="J1376" s="196"/>
      <c r="K1376" s="196"/>
      <c r="L1376" s="196" t="str">
        <v/>
      </c>
      <c r="M1376" s="196"/>
    </row>
    <row r="1377" spans="1:13" ht="14.4" x14ac:dyDescent="0.3">
      <c r="A1377" s="189" t="str">
        <f ca="1">IFERROR(__xludf.DUMMYFUNCTION("""COMPUTED_VALUE"""),"OH")</f>
        <v>OH</v>
      </c>
      <c r="B1377" s="195" t="str">
        <f ca="1">IFERROR(__xludf.DUMMYFUNCTION("""COMPUTED_VALUE"""),"Grant McClure")</f>
        <v>Grant McClure</v>
      </c>
      <c r="C1377" s="189">
        <f ca="1">IFERROR(__xludf.DUMMYFUNCTION("""COMPUTED_VALUE"""),16)</f>
        <v>16</v>
      </c>
      <c r="D1377" s="189" t="str">
        <f ca="1">IFERROR(__xludf.DUMMYFUNCTION("""COMPUTED_VALUE"""),"B")</f>
        <v>B</v>
      </c>
      <c r="E1377" s="189" t="str">
        <f ca="1">IFERROR(__xludf.DUMMYFUNCTION("""COMPUTED_VALUE"""),"S")</f>
        <v>S</v>
      </c>
      <c r="F1377" s="189" t="str">
        <f ca="1">IFERROR(__xludf.DUMMYFUNCTION("""COMPUTED_VALUE"""),"S")</f>
        <v>S</v>
      </c>
      <c r="G1377" s="189">
        <f ca="1">IFERROR(__xludf.DUMMYFUNCTION("""COMPUTED_VALUE"""),8)</f>
        <v>8</v>
      </c>
      <c r="H1377" s="196" t="s">
        <v>582</v>
      </c>
      <c r="I1377" s="196"/>
      <c r="J1377" s="196" t="s">
        <v>29</v>
      </c>
      <c r="K1377" s="196"/>
      <c r="L1377" s="196" t="str">
        <v xml:space="preserve"> 130.20</v>
      </c>
      <c r="M1377" s="196"/>
    </row>
    <row r="1378" spans="1:13" ht="14.4" x14ac:dyDescent="0.3">
      <c r="A1378" s="189" t="str">
        <f ca="1">IFERROR(__xludf.DUMMYFUNCTION("""COMPUTED_VALUE"""),"OKM")</f>
        <v>OKM</v>
      </c>
      <c r="B1378" s="195" t="str">
        <f ca="1">IFERROR(__xludf.DUMMYFUNCTION("""COMPUTED_VALUE"""),"Ada Goehring")</f>
        <v>Ada Goehring</v>
      </c>
      <c r="C1378" s="189">
        <f ca="1">IFERROR(__xludf.DUMMYFUNCTION("""COMPUTED_VALUE"""),10)</f>
        <v>10</v>
      </c>
      <c r="D1378" s="189" t="str">
        <f ca="1">IFERROR(__xludf.DUMMYFUNCTION("""COMPUTED_VALUE"""),"G")</f>
        <v>G</v>
      </c>
      <c r="E1378" s="189" t="str">
        <f ca="1">IFERROR(__xludf.DUMMYFUNCTION("""COMPUTED_VALUE"""),"F")</f>
        <v>F</v>
      </c>
      <c r="F1378" s="189" t="str">
        <f ca="1">IFERROR(__xludf.DUMMYFUNCTION("""COMPUTED_VALUE"""),"J")</f>
        <v>J</v>
      </c>
      <c r="G1378" s="189">
        <f ca="1">IFERROR(__xludf.DUMMYFUNCTION("""COMPUTED_VALUE"""),1)</f>
        <v>1</v>
      </c>
      <c r="H1378" s="196"/>
      <c r="I1378" s="196"/>
      <c r="J1378" s="196"/>
      <c r="K1378" s="196"/>
      <c r="L1378" s="196" t="str">
        <v/>
      </c>
      <c r="M1378" s="196"/>
    </row>
    <row r="1379" spans="1:13" ht="14.4" x14ac:dyDescent="0.3">
      <c r="A1379" s="189" t="str">
        <f ca="1">IFERROR(__xludf.DUMMYFUNCTION("""COMPUTED_VALUE"""),"OKM")</f>
        <v>OKM</v>
      </c>
      <c r="B1379" s="195" t="str">
        <f ca="1">IFERROR(__xludf.DUMMYFUNCTION("""COMPUTED_VALUE"""),"Alex Shrieves")</f>
        <v>Alex Shrieves</v>
      </c>
      <c r="C1379" s="189">
        <f ca="1">IFERROR(__xludf.DUMMYFUNCTION("""COMPUTED_VALUE"""),9)</f>
        <v>9</v>
      </c>
      <c r="D1379" s="189" t="str">
        <f ca="1">IFERROR(__xludf.DUMMYFUNCTION("""COMPUTED_VALUE"""),"G")</f>
        <v>G</v>
      </c>
      <c r="E1379" s="189" t="str">
        <f ca="1">IFERROR(__xludf.DUMMYFUNCTION("""COMPUTED_VALUE"""),"F")</f>
        <v>F</v>
      </c>
      <c r="F1379" s="189" t="str">
        <f ca="1">IFERROR(__xludf.DUMMYFUNCTION("""COMPUTED_VALUE"""),"J")</f>
        <v>J</v>
      </c>
      <c r="G1379" s="189">
        <f ca="1">IFERROR(__xludf.DUMMYFUNCTION("""COMPUTED_VALUE"""),1)</f>
        <v>1</v>
      </c>
      <c r="H1379" s="196" t="s">
        <v>583</v>
      </c>
      <c r="I1379" s="196"/>
      <c r="J1379" s="196" t="s">
        <v>29</v>
      </c>
      <c r="K1379" s="196"/>
      <c r="L1379" s="196" t="str">
        <v xml:space="preserve"> 45.65</v>
      </c>
      <c r="M1379" s="196"/>
    </row>
    <row r="1380" spans="1:13" ht="14.4" x14ac:dyDescent="0.3">
      <c r="A1380" s="189" t="str">
        <f ca="1">IFERROR(__xludf.DUMMYFUNCTION("""COMPUTED_VALUE"""),"OKM")</f>
        <v>OKM</v>
      </c>
      <c r="B1380" s="195" t="str">
        <f ca="1">IFERROR(__xludf.DUMMYFUNCTION("""COMPUTED_VALUE"""),"Anna Shrieves")</f>
        <v>Anna Shrieves</v>
      </c>
      <c r="C1380" s="189">
        <f ca="1">IFERROR(__xludf.DUMMYFUNCTION("""COMPUTED_VALUE"""),7)</f>
        <v>7</v>
      </c>
      <c r="D1380" s="189" t="str">
        <f ca="1">IFERROR(__xludf.DUMMYFUNCTION("""COMPUTED_VALUE"""),"G")</f>
        <v>G</v>
      </c>
      <c r="E1380" s="189" t="str">
        <f ca="1">IFERROR(__xludf.DUMMYFUNCTION("""COMPUTED_VALUE"""),"F")</f>
        <v>F</v>
      </c>
      <c r="F1380" s="189" t="str">
        <f ca="1">IFERROR(__xludf.DUMMYFUNCTION("""COMPUTED_VALUE"""),"J")</f>
        <v>J</v>
      </c>
      <c r="G1380" s="189">
        <f ca="1">IFERROR(__xludf.DUMMYFUNCTION("""COMPUTED_VALUE"""),1)</f>
        <v>1</v>
      </c>
      <c r="H1380" s="196" t="s">
        <v>226</v>
      </c>
      <c r="I1380" s="196"/>
      <c r="J1380" s="196" t="s">
        <v>29</v>
      </c>
      <c r="K1380" s="196"/>
      <c r="L1380" s="196" t="str">
        <v xml:space="preserve"> 57.70</v>
      </c>
      <c r="M1380" s="196"/>
    </row>
    <row r="1381" spans="1:13" ht="14.4" x14ac:dyDescent="0.3">
      <c r="A1381" s="189" t="str">
        <f ca="1">IFERROR(__xludf.DUMMYFUNCTION("""COMPUTED_VALUE"""),"OKM")</f>
        <v>OKM</v>
      </c>
      <c r="B1381" s="195" t="str">
        <f ca="1">IFERROR(__xludf.DUMMYFUNCTION("""COMPUTED_VALUE"""),"Caroline Null")</f>
        <v>Caroline Null</v>
      </c>
      <c r="C1381" s="189">
        <f ca="1">IFERROR(__xludf.DUMMYFUNCTION("""COMPUTED_VALUE"""),4)</f>
        <v>4</v>
      </c>
      <c r="D1381" s="189" t="str">
        <f ca="1">IFERROR(__xludf.DUMMYFUNCTION("""COMPUTED_VALUE"""),"G")</f>
        <v>G</v>
      </c>
      <c r="E1381" s="189" t="str">
        <f ca="1">IFERROR(__xludf.DUMMYFUNCTION("""COMPUTED_VALUE"""),"F")</f>
        <v>F</v>
      </c>
      <c r="F1381" s="189" t="str">
        <f ca="1">IFERROR(__xludf.DUMMYFUNCTION("""COMPUTED_VALUE"""),"J")</f>
        <v>J</v>
      </c>
      <c r="G1381" s="189">
        <f ca="1">IFERROR(__xludf.DUMMYFUNCTION("""COMPUTED_VALUE"""),1)</f>
        <v>1</v>
      </c>
      <c r="H1381" s="196"/>
      <c r="I1381" s="196"/>
      <c r="J1381" s="196"/>
      <c r="K1381" s="196"/>
      <c r="L1381" s="196" t="str">
        <v/>
      </c>
      <c r="M1381" s="196"/>
    </row>
    <row r="1382" spans="1:13" ht="14.4" x14ac:dyDescent="0.3">
      <c r="A1382" s="189" t="str">
        <f ca="1">IFERROR(__xludf.DUMMYFUNCTION("""COMPUTED_VALUE"""),"OKM")</f>
        <v>OKM</v>
      </c>
      <c r="B1382" s="195" t="str">
        <f ca="1">IFERROR(__xludf.DUMMYFUNCTION("""COMPUTED_VALUE"""),"Charlotte Case")</f>
        <v>Charlotte Case</v>
      </c>
      <c r="C1382" s="189">
        <f ca="1">IFERROR(__xludf.DUMMYFUNCTION("""COMPUTED_VALUE"""),6)</f>
        <v>6</v>
      </c>
      <c r="D1382" s="189" t="str">
        <f ca="1">IFERROR(__xludf.DUMMYFUNCTION("""COMPUTED_VALUE"""),"G")</f>
        <v>G</v>
      </c>
      <c r="E1382" s="189" t="str">
        <f ca="1">IFERROR(__xludf.DUMMYFUNCTION("""COMPUTED_VALUE"""),"F")</f>
        <v>F</v>
      </c>
      <c r="F1382" s="189" t="str">
        <f ca="1">IFERROR(__xludf.DUMMYFUNCTION("""COMPUTED_VALUE"""),"J")</f>
        <v>J</v>
      </c>
      <c r="G1382" s="189">
        <f ca="1">IFERROR(__xludf.DUMMYFUNCTION("""COMPUTED_VALUE"""),1)</f>
        <v>1</v>
      </c>
      <c r="H1382" s="196"/>
      <c r="I1382" s="196"/>
      <c r="J1382" s="196"/>
      <c r="K1382" s="196"/>
      <c r="L1382" s="196" t="str">
        <v/>
      </c>
      <c r="M1382" s="196"/>
    </row>
    <row r="1383" spans="1:13" ht="14.4" x14ac:dyDescent="0.3">
      <c r="A1383" s="189" t="str">
        <f ca="1">IFERROR(__xludf.DUMMYFUNCTION("""COMPUTED_VALUE"""),"OKM")</f>
        <v>OKM</v>
      </c>
      <c r="B1383" s="195" t="str">
        <f ca="1">IFERROR(__xludf.DUMMYFUNCTION("""COMPUTED_VALUE"""),"Elizabeth Abels")</f>
        <v>Elizabeth Abels</v>
      </c>
      <c r="C1383" s="189">
        <f ca="1">IFERROR(__xludf.DUMMYFUNCTION("""COMPUTED_VALUE"""),9)</f>
        <v>9</v>
      </c>
      <c r="D1383" s="189" t="str">
        <f ca="1">IFERROR(__xludf.DUMMYFUNCTION("""COMPUTED_VALUE"""),"G")</f>
        <v>G</v>
      </c>
      <c r="E1383" s="189" t="str">
        <f ca="1">IFERROR(__xludf.DUMMYFUNCTION("""COMPUTED_VALUE"""),"F")</f>
        <v>F</v>
      </c>
      <c r="F1383" s="189" t="str">
        <f ca="1">IFERROR(__xludf.DUMMYFUNCTION("""COMPUTED_VALUE"""),"J")</f>
        <v>J</v>
      </c>
      <c r="G1383" s="189">
        <f ca="1">IFERROR(__xludf.DUMMYFUNCTION("""COMPUTED_VALUE"""),1)</f>
        <v>1</v>
      </c>
      <c r="H1383" s="196" t="s">
        <v>348</v>
      </c>
      <c r="I1383" s="196"/>
      <c r="J1383" s="196" t="s">
        <v>29</v>
      </c>
      <c r="K1383" s="196"/>
      <c r="L1383" s="196" t="str">
        <v xml:space="preserve"> 40.30</v>
      </c>
      <c r="M1383" s="196"/>
    </row>
    <row r="1384" spans="1:13" ht="14.4" x14ac:dyDescent="0.3">
      <c r="A1384" s="189" t="str">
        <f ca="1">IFERROR(__xludf.DUMMYFUNCTION("""COMPUTED_VALUE"""),"OKM")</f>
        <v>OKM</v>
      </c>
      <c r="B1384" s="195" t="str">
        <f ca="1">IFERROR(__xludf.DUMMYFUNCTION("""COMPUTED_VALUE"""),"Harper Fried")</f>
        <v>Harper Fried</v>
      </c>
      <c r="C1384" s="189">
        <f ca="1">IFERROR(__xludf.DUMMYFUNCTION("""COMPUTED_VALUE"""),7)</f>
        <v>7</v>
      </c>
      <c r="D1384" s="189" t="str">
        <f ca="1">IFERROR(__xludf.DUMMYFUNCTION("""COMPUTED_VALUE"""),"G")</f>
        <v>G</v>
      </c>
      <c r="E1384" s="189" t="str">
        <f ca="1">IFERROR(__xludf.DUMMYFUNCTION("""COMPUTED_VALUE"""),"F")</f>
        <v>F</v>
      </c>
      <c r="F1384" s="189" t="str">
        <f ca="1">IFERROR(__xludf.DUMMYFUNCTION("""COMPUTED_VALUE"""),"J")</f>
        <v>J</v>
      </c>
      <c r="G1384" s="189">
        <f ca="1">IFERROR(__xludf.DUMMYFUNCTION("""COMPUTED_VALUE"""),1)</f>
        <v>1</v>
      </c>
      <c r="H1384" s="196" t="s">
        <v>584</v>
      </c>
      <c r="I1384" s="196"/>
      <c r="J1384" s="196" t="s">
        <v>29</v>
      </c>
      <c r="K1384" s="196"/>
      <c r="L1384" s="196" t="str">
        <v xml:space="preserve"> 30.40</v>
      </c>
      <c r="M1384" s="196"/>
    </row>
    <row r="1385" spans="1:13" ht="14.4" x14ac:dyDescent="0.3">
      <c r="A1385" s="189" t="str">
        <f ca="1">IFERROR(__xludf.DUMMYFUNCTION("""COMPUTED_VALUE"""),"OKM")</f>
        <v>OKM</v>
      </c>
      <c r="B1385" s="195" t="str">
        <f ca="1">IFERROR(__xludf.DUMMYFUNCTION("""COMPUTED_VALUE"""),"Isla-Kate Reese")</f>
        <v>Isla-Kate Reese</v>
      </c>
      <c r="C1385" s="189">
        <f ca="1">IFERROR(__xludf.DUMMYFUNCTION("""COMPUTED_VALUE"""),9)</f>
        <v>9</v>
      </c>
      <c r="D1385" s="189" t="str">
        <f ca="1">IFERROR(__xludf.DUMMYFUNCTION("""COMPUTED_VALUE"""),"G")</f>
        <v>G</v>
      </c>
      <c r="E1385" s="189" t="str">
        <f ca="1">IFERROR(__xludf.DUMMYFUNCTION("""COMPUTED_VALUE"""),"F")</f>
        <v>F</v>
      </c>
      <c r="F1385" s="189" t="str">
        <f ca="1">IFERROR(__xludf.DUMMYFUNCTION("""COMPUTED_VALUE"""),"J")</f>
        <v>J</v>
      </c>
      <c r="G1385" s="189">
        <f ca="1">IFERROR(__xludf.DUMMYFUNCTION("""COMPUTED_VALUE"""),1)</f>
        <v>1</v>
      </c>
      <c r="H1385" s="196" t="s">
        <v>585</v>
      </c>
      <c r="I1385" s="196"/>
      <c r="J1385" s="196" t="s">
        <v>29</v>
      </c>
      <c r="K1385" s="196"/>
      <c r="L1385" s="196" t="str">
        <v xml:space="preserve"> 57.15</v>
      </c>
      <c r="M1385" s="196"/>
    </row>
    <row r="1386" spans="1:13" ht="14.4" x14ac:dyDescent="0.3">
      <c r="A1386" s="189" t="str">
        <f ca="1">IFERROR(__xludf.DUMMYFUNCTION("""COMPUTED_VALUE"""),"OKM")</f>
        <v>OKM</v>
      </c>
      <c r="B1386" s="195" t="str">
        <f ca="1">IFERROR(__xludf.DUMMYFUNCTION("""COMPUTED_VALUE"""),"Johanna Thoms")</f>
        <v>Johanna Thoms</v>
      </c>
      <c r="C1386" s="189">
        <f ca="1">IFERROR(__xludf.DUMMYFUNCTION("""COMPUTED_VALUE"""),10)</f>
        <v>10</v>
      </c>
      <c r="D1386" s="189" t="str">
        <f ca="1">IFERROR(__xludf.DUMMYFUNCTION("""COMPUTED_VALUE"""),"G")</f>
        <v>G</v>
      </c>
      <c r="E1386" s="189" t="str">
        <f ca="1">IFERROR(__xludf.DUMMYFUNCTION("""COMPUTED_VALUE"""),"F")</f>
        <v>F</v>
      </c>
      <c r="F1386" s="189" t="str">
        <f ca="1">IFERROR(__xludf.DUMMYFUNCTION("""COMPUTED_VALUE"""),"J")</f>
        <v>J</v>
      </c>
      <c r="G1386" s="189">
        <f ca="1">IFERROR(__xludf.DUMMYFUNCTION("""COMPUTED_VALUE"""),1)</f>
        <v>1</v>
      </c>
      <c r="H1386" s="196" t="s">
        <v>586</v>
      </c>
      <c r="I1386" s="196"/>
      <c r="J1386" s="196" t="s">
        <v>29</v>
      </c>
      <c r="K1386" s="196"/>
      <c r="L1386" s="196" t="str">
        <v xml:space="preserve"> 47.25</v>
      </c>
      <c r="M1386" s="196"/>
    </row>
    <row r="1387" spans="1:13" ht="14.4" x14ac:dyDescent="0.3">
      <c r="A1387" s="189" t="str">
        <f ca="1">IFERROR(__xludf.DUMMYFUNCTION("""COMPUTED_VALUE"""),"OKM")</f>
        <v>OKM</v>
      </c>
      <c r="B1387" s="195" t="str">
        <f ca="1">IFERROR(__xludf.DUMMYFUNCTION("""COMPUTED_VALUE"""),"Kacey Duke")</f>
        <v>Kacey Duke</v>
      </c>
      <c r="C1387" s="189">
        <f ca="1">IFERROR(__xludf.DUMMYFUNCTION("""COMPUTED_VALUE"""),7)</f>
        <v>7</v>
      </c>
      <c r="D1387" s="189" t="str">
        <f ca="1">IFERROR(__xludf.DUMMYFUNCTION("""COMPUTED_VALUE"""),"G")</f>
        <v>G</v>
      </c>
      <c r="E1387" s="189" t="str">
        <f ca="1">IFERROR(__xludf.DUMMYFUNCTION("""COMPUTED_VALUE"""),"F")</f>
        <v>F</v>
      </c>
      <c r="F1387" s="189" t="str">
        <f ca="1">IFERROR(__xludf.DUMMYFUNCTION("""COMPUTED_VALUE"""),"J")</f>
        <v>J</v>
      </c>
      <c r="G1387" s="189">
        <f ca="1">IFERROR(__xludf.DUMMYFUNCTION("""COMPUTED_VALUE"""),1)</f>
        <v>1</v>
      </c>
      <c r="H1387" s="196"/>
      <c r="I1387" s="196"/>
      <c r="J1387" s="196"/>
      <c r="K1387" s="196"/>
      <c r="L1387" s="196" t="str">
        <v/>
      </c>
      <c r="M1387" s="196"/>
    </row>
    <row r="1388" spans="1:13" ht="14.4" x14ac:dyDescent="0.3">
      <c r="A1388" s="189" t="str">
        <f ca="1">IFERROR(__xludf.DUMMYFUNCTION("""COMPUTED_VALUE"""),"OKM")</f>
        <v>OKM</v>
      </c>
      <c r="B1388" s="195" t="str">
        <f ca="1">IFERROR(__xludf.DUMMYFUNCTION("""COMPUTED_VALUE"""),"Kiki Smythe")</f>
        <v>Kiki Smythe</v>
      </c>
      <c r="C1388" s="189">
        <f ca="1">IFERROR(__xludf.DUMMYFUNCTION("""COMPUTED_VALUE"""),9)</f>
        <v>9</v>
      </c>
      <c r="D1388" s="189" t="str">
        <f ca="1">IFERROR(__xludf.DUMMYFUNCTION("""COMPUTED_VALUE"""),"G")</f>
        <v>G</v>
      </c>
      <c r="E1388" s="189" t="str">
        <f ca="1">IFERROR(__xludf.DUMMYFUNCTION("""COMPUTED_VALUE"""),"F")</f>
        <v>F</v>
      </c>
      <c r="F1388" s="189" t="str">
        <f ca="1">IFERROR(__xludf.DUMMYFUNCTION("""COMPUTED_VALUE"""),"J")</f>
        <v>J</v>
      </c>
      <c r="G1388" s="189">
        <f ca="1">IFERROR(__xludf.DUMMYFUNCTION("""COMPUTED_VALUE"""),1)</f>
        <v>1</v>
      </c>
      <c r="H1388" s="196"/>
      <c r="I1388" s="196"/>
      <c r="J1388" s="196"/>
      <c r="K1388" s="196"/>
      <c r="L1388" s="196" t="str">
        <v/>
      </c>
      <c r="M1388" s="196"/>
    </row>
    <row r="1389" spans="1:13" ht="14.4" x14ac:dyDescent="0.3">
      <c r="A1389" s="189" t="str">
        <f ca="1">IFERROR(__xludf.DUMMYFUNCTION("""COMPUTED_VALUE"""),"OKM")</f>
        <v>OKM</v>
      </c>
      <c r="B1389" s="195" t="str">
        <f ca="1">IFERROR(__xludf.DUMMYFUNCTION("""COMPUTED_VALUE"""),"Magnolia Kojm")</f>
        <v>Magnolia Kojm</v>
      </c>
      <c r="C1389" s="189">
        <f ca="1">IFERROR(__xludf.DUMMYFUNCTION("""COMPUTED_VALUE"""),5)</f>
        <v>5</v>
      </c>
      <c r="D1389" s="189" t="str">
        <f ca="1">IFERROR(__xludf.DUMMYFUNCTION("""COMPUTED_VALUE"""),"G")</f>
        <v>G</v>
      </c>
      <c r="E1389" s="189" t="str">
        <f ca="1">IFERROR(__xludf.DUMMYFUNCTION("""COMPUTED_VALUE"""),"F")</f>
        <v>F</v>
      </c>
      <c r="F1389" s="189" t="str">
        <f ca="1">IFERROR(__xludf.DUMMYFUNCTION("""COMPUTED_VALUE"""),"J")</f>
        <v>J</v>
      </c>
      <c r="G1389" s="189">
        <f ca="1">IFERROR(__xludf.DUMMYFUNCTION("""COMPUTED_VALUE"""),1)</f>
        <v>1</v>
      </c>
      <c r="H1389" s="196"/>
      <c r="I1389" s="196"/>
      <c r="J1389" s="196"/>
      <c r="K1389" s="196"/>
      <c r="L1389" s="196" t="str">
        <v/>
      </c>
      <c r="M1389" s="196"/>
    </row>
    <row r="1390" spans="1:13" ht="14.4" x14ac:dyDescent="0.3">
      <c r="A1390" s="189" t="str">
        <f ca="1">IFERROR(__xludf.DUMMYFUNCTION("""COMPUTED_VALUE"""),"OKM")</f>
        <v>OKM</v>
      </c>
      <c r="B1390" s="195" t="str">
        <f ca="1">IFERROR(__xludf.DUMMYFUNCTION("""COMPUTED_VALUE"""),"Mallory Brown")</f>
        <v>Mallory Brown</v>
      </c>
      <c r="C1390" s="189">
        <f ca="1">IFERROR(__xludf.DUMMYFUNCTION("""COMPUTED_VALUE"""),10)</f>
        <v>10</v>
      </c>
      <c r="D1390" s="189" t="str">
        <f ca="1">IFERROR(__xludf.DUMMYFUNCTION("""COMPUTED_VALUE"""),"G")</f>
        <v>G</v>
      </c>
      <c r="E1390" s="189" t="str">
        <f ca="1">IFERROR(__xludf.DUMMYFUNCTION("""COMPUTED_VALUE"""),"F")</f>
        <v>F</v>
      </c>
      <c r="F1390" s="189" t="str">
        <f ca="1">IFERROR(__xludf.DUMMYFUNCTION("""COMPUTED_VALUE"""),"J")</f>
        <v>J</v>
      </c>
      <c r="G1390" s="189">
        <f ca="1">IFERROR(__xludf.DUMMYFUNCTION("""COMPUTED_VALUE"""),1)</f>
        <v>1</v>
      </c>
      <c r="H1390" s="196" t="s">
        <v>587</v>
      </c>
      <c r="I1390" s="196"/>
      <c r="J1390" s="196" t="s">
        <v>64</v>
      </c>
      <c r="K1390" s="196"/>
      <c r="L1390" s="196" t="str">
        <v xml:space="preserve"> -92.35</v>
      </c>
      <c r="M1390" s="196"/>
    </row>
    <row r="1391" spans="1:13" ht="14.4" x14ac:dyDescent="0.3">
      <c r="A1391" s="189" t="str">
        <f ca="1">IFERROR(__xludf.DUMMYFUNCTION("""COMPUTED_VALUE"""),"OKM")</f>
        <v>OKM</v>
      </c>
      <c r="B1391" s="195" t="str">
        <f ca="1">IFERROR(__xludf.DUMMYFUNCTION("""COMPUTED_VALUE"""),"Nyah Smith")</f>
        <v>Nyah Smith</v>
      </c>
      <c r="C1391" s="189">
        <f ca="1">IFERROR(__xludf.DUMMYFUNCTION("""COMPUTED_VALUE"""),10)</f>
        <v>10</v>
      </c>
      <c r="D1391" s="189" t="str">
        <f ca="1">IFERROR(__xludf.DUMMYFUNCTION("""COMPUTED_VALUE"""),"G")</f>
        <v>G</v>
      </c>
      <c r="E1391" s="189" t="str">
        <f ca="1">IFERROR(__xludf.DUMMYFUNCTION("""COMPUTED_VALUE"""),"F")</f>
        <v>F</v>
      </c>
      <c r="F1391" s="189" t="str">
        <f ca="1">IFERROR(__xludf.DUMMYFUNCTION("""COMPUTED_VALUE"""),"J")</f>
        <v>J</v>
      </c>
      <c r="G1391" s="189">
        <f ca="1">IFERROR(__xludf.DUMMYFUNCTION("""COMPUTED_VALUE"""),1)</f>
        <v>1</v>
      </c>
      <c r="H1391" s="196" t="s">
        <v>588</v>
      </c>
      <c r="I1391" s="196"/>
      <c r="J1391" s="196" t="s">
        <v>29</v>
      </c>
      <c r="K1391" s="196"/>
      <c r="L1391" s="196" t="str">
        <v xml:space="preserve"> 52.15</v>
      </c>
      <c r="M1391" s="196"/>
    </row>
    <row r="1392" spans="1:13" ht="14.4" x14ac:dyDescent="0.3">
      <c r="A1392" s="189" t="str">
        <f ca="1">IFERROR(__xludf.DUMMYFUNCTION("""COMPUTED_VALUE"""),"OKM")</f>
        <v>OKM</v>
      </c>
      <c r="B1392" s="195" t="str">
        <f ca="1">IFERROR(__xludf.DUMMYFUNCTION("""COMPUTED_VALUE"""),"Quinn Thomas")</f>
        <v>Quinn Thomas</v>
      </c>
      <c r="C1392" s="189">
        <f ca="1">IFERROR(__xludf.DUMMYFUNCTION("""COMPUTED_VALUE"""),10)</f>
        <v>10</v>
      </c>
      <c r="D1392" s="189" t="str">
        <f ca="1">IFERROR(__xludf.DUMMYFUNCTION("""COMPUTED_VALUE"""),"G")</f>
        <v>G</v>
      </c>
      <c r="E1392" s="189" t="str">
        <f ca="1">IFERROR(__xludf.DUMMYFUNCTION("""COMPUTED_VALUE"""),"F")</f>
        <v>F</v>
      </c>
      <c r="F1392" s="189" t="str">
        <f ca="1">IFERROR(__xludf.DUMMYFUNCTION("""COMPUTED_VALUE"""),"J")</f>
        <v>J</v>
      </c>
      <c r="G1392" s="189">
        <f ca="1">IFERROR(__xludf.DUMMYFUNCTION("""COMPUTED_VALUE"""),1)</f>
        <v>1</v>
      </c>
      <c r="H1392" s="196" t="s">
        <v>589</v>
      </c>
      <c r="I1392" s="196"/>
      <c r="J1392" s="196" t="s">
        <v>29</v>
      </c>
      <c r="K1392" s="196"/>
      <c r="L1392" s="196" t="str">
        <v xml:space="preserve"> 54.35</v>
      </c>
      <c r="M1392" s="196"/>
    </row>
    <row r="1393" spans="1:13" ht="14.4" x14ac:dyDescent="0.3">
      <c r="A1393" s="189" t="str">
        <f ca="1">IFERROR(__xludf.DUMMYFUNCTION("""COMPUTED_VALUE"""),"OKM")</f>
        <v>OKM</v>
      </c>
      <c r="B1393" s="195" t="str">
        <f ca="1">IFERROR(__xludf.DUMMYFUNCTION("""COMPUTED_VALUE"""),"Quinn Warner")</f>
        <v>Quinn Warner</v>
      </c>
      <c r="C1393" s="189">
        <f ca="1">IFERROR(__xludf.DUMMYFUNCTION("""COMPUTED_VALUE"""),8)</f>
        <v>8</v>
      </c>
      <c r="D1393" s="189" t="str">
        <f ca="1">IFERROR(__xludf.DUMMYFUNCTION("""COMPUTED_VALUE"""),"G")</f>
        <v>G</v>
      </c>
      <c r="E1393" s="189" t="str">
        <f ca="1">IFERROR(__xludf.DUMMYFUNCTION("""COMPUTED_VALUE"""),"F")</f>
        <v>F</v>
      </c>
      <c r="F1393" s="189" t="str">
        <f ca="1">IFERROR(__xludf.DUMMYFUNCTION("""COMPUTED_VALUE"""),"J")</f>
        <v>J</v>
      </c>
      <c r="G1393" s="189">
        <f ca="1">IFERROR(__xludf.DUMMYFUNCTION("""COMPUTED_VALUE"""),1)</f>
        <v>1</v>
      </c>
      <c r="H1393" s="196"/>
      <c r="I1393" s="196"/>
      <c r="J1393" s="196"/>
      <c r="K1393" s="196"/>
      <c r="L1393" s="196" t="str">
        <v/>
      </c>
      <c r="M1393" s="196"/>
    </row>
    <row r="1394" spans="1:13" ht="14.4" x14ac:dyDescent="0.3">
      <c r="A1394" s="189" t="str">
        <f ca="1">IFERROR(__xludf.DUMMYFUNCTION("""COMPUTED_VALUE"""),"OKM")</f>
        <v>OKM</v>
      </c>
      <c r="B1394" s="195" t="str">
        <f ca="1">IFERROR(__xludf.DUMMYFUNCTION("""COMPUTED_VALUE"""),"Riley Randall")</f>
        <v>Riley Randall</v>
      </c>
      <c r="C1394" s="189">
        <f ca="1">IFERROR(__xludf.DUMMYFUNCTION("""COMPUTED_VALUE"""),10)</f>
        <v>10</v>
      </c>
      <c r="D1394" s="189" t="str">
        <f ca="1">IFERROR(__xludf.DUMMYFUNCTION("""COMPUTED_VALUE"""),"G")</f>
        <v>G</v>
      </c>
      <c r="E1394" s="189" t="str">
        <f ca="1">IFERROR(__xludf.DUMMYFUNCTION("""COMPUTED_VALUE"""),"F")</f>
        <v>F</v>
      </c>
      <c r="F1394" s="189" t="str">
        <f ca="1">IFERROR(__xludf.DUMMYFUNCTION("""COMPUTED_VALUE"""),"J")</f>
        <v>J</v>
      </c>
      <c r="G1394" s="189">
        <f ca="1">IFERROR(__xludf.DUMMYFUNCTION("""COMPUTED_VALUE"""),1)</f>
        <v>1</v>
      </c>
      <c r="H1394" s="196"/>
      <c r="I1394" s="196"/>
      <c r="J1394" s="196"/>
      <c r="K1394" s="196"/>
      <c r="L1394" s="196" t="str">
        <v/>
      </c>
      <c r="M1394" s="196"/>
    </row>
    <row r="1395" spans="1:13" ht="14.4" x14ac:dyDescent="0.3">
      <c r="A1395" s="189" t="str">
        <f ca="1">IFERROR(__xludf.DUMMYFUNCTION("""COMPUTED_VALUE"""),"OKM")</f>
        <v>OKM</v>
      </c>
      <c r="B1395" s="195" t="str">
        <f ca="1">IFERROR(__xludf.DUMMYFUNCTION("""COMPUTED_VALUE"""),"Sunny Smythe")</f>
        <v>Sunny Smythe</v>
      </c>
      <c r="C1395" s="189">
        <f ca="1">IFERROR(__xludf.DUMMYFUNCTION("""COMPUTED_VALUE"""),7)</f>
        <v>7</v>
      </c>
      <c r="D1395" s="189" t="str">
        <f ca="1">IFERROR(__xludf.DUMMYFUNCTION("""COMPUTED_VALUE"""),"G")</f>
        <v>G</v>
      </c>
      <c r="E1395" s="189" t="str">
        <f ca="1">IFERROR(__xludf.DUMMYFUNCTION("""COMPUTED_VALUE"""),"F")</f>
        <v>F</v>
      </c>
      <c r="F1395" s="189" t="str">
        <f ca="1">IFERROR(__xludf.DUMMYFUNCTION("""COMPUTED_VALUE"""),"J")</f>
        <v>J</v>
      </c>
      <c r="G1395" s="189">
        <f ca="1">IFERROR(__xludf.DUMMYFUNCTION("""COMPUTED_VALUE"""),1)</f>
        <v>1</v>
      </c>
      <c r="H1395" s="196"/>
      <c r="I1395" s="196"/>
      <c r="J1395" s="196"/>
      <c r="K1395" s="196"/>
      <c r="L1395" s="196" t="str">
        <v/>
      </c>
      <c r="M1395" s="196"/>
    </row>
    <row r="1396" spans="1:13" ht="14.4" x14ac:dyDescent="0.3">
      <c r="A1396" s="189" t="str">
        <f ca="1">IFERROR(__xludf.DUMMYFUNCTION("""COMPUTED_VALUE"""),"OKM")</f>
        <v>OKM</v>
      </c>
      <c r="B1396" s="195" t="str">
        <f ca="1">IFERROR(__xludf.DUMMYFUNCTION("""COMPUTED_VALUE"""),"Andrew Werlinger")</f>
        <v>Andrew Werlinger</v>
      </c>
      <c r="C1396" s="189">
        <f ca="1">IFERROR(__xludf.DUMMYFUNCTION("""COMPUTED_VALUE"""),7)</f>
        <v>7</v>
      </c>
      <c r="D1396" s="189" t="str">
        <f ca="1">IFERROR(__xludf.DUMMYFUNCTION("""COMPUTED_VALUE"""),"B")</f>
        <v>B</v>
      </c>
      <c r="E1396" s="189" t="str">
        <f ca="1">IFERROR(__xludf.DUMMYFUNCTION("""COMPUTED_VALUE"""),"F")</f>
        <v>F</v>
      </c>
      <c r="F1396" s="189" t="str">
        <f ca="1">IFERROR(__xludf.DUMMYFUNCTION("""COMPUTED_VALUE"""),"J")</f>
        <v>J</v>
      </c>
      <c r="G1396" s="189">
        <f ca="1">IFERROR(__xludf.DUMMYFUNCTION("""COMPUTED_VALUE"""),1)</f>
        <v>1</v>
      </c>
      <c r="H1396" s="196" t="s">
        <v>590</v>
      </c>
      <c r="I1396" s="196"/>
      <c r="J1396" s="196" t="s">
        <v>29</v>
      </c>
      <c r="K1396" s="196"/>
      <c r="L1396" s="196" t="str">
        <v xml:space="preserve"> 25.60</v>
      </c>
      <c r="M1396" s="196"/>
    </row>
    <row r="1397" spans="1:13" ht="14.4" x14ac:dyDescent="0.3">
      <c r="A1397" s="189" t="str">
        <f ca="1">IFERROR(__xludf.DUMMYFUNCTION("""COMPUTED_VALUE"""),"OKM")</f>
        <v>OKM</v>
      </c>
      <c r="B1397" s="195" t="str">
        <f ca="1">IFERROR(__xludf.DUMMYFUNCTION("""COMPUTED_VALUE"""),"Benjamin Werlinger")</f>
        <v>Benjamin Werlinger</v>
      </c>
      <c r="C1397" s="189">
        <f ca="1">IFERROR(__xludf.DUMMYFUNCTION("""COMPUTED_VALUE"""),9)</f>
        <v>9</v>
      </c>
      <c r="D1397" s="189" t="str">
        <f ca="1">IFERROR(__xludf.DUMMYFUNCTION("""COMPUTED_VALUE"""),"B")</f>
        <v>B</v>
      </c>
      <c r="E1397" s="189" t="str">
        <f ca="1">IFERROR(__xludf.DUMMYFUNCTION("""COMPUTED_VALUE"""),"F")</f>
        <v>F</v>
      </c>
      <c r="F1397" s="189" t="str">
        <f ca="1">IFERROR(__xludf.DUMMYFUNCTION("""COMPUTED_VALUE"""),"J")</f>
        <v>J</v>
      </c>
      <c r="G1397" s="189">
        <f ca="1">IFERROR(__xludf.DUMMYFUNCTION("""COMPUTED_VALUE"""),1)</f>
        <v>1</v>
      </c>
      <c r="H1397" s="196"/>
      <c r="I1397" s="196"/>
      <c r="J1397" s="196"/>
      <c r="K1397" s="196"/>
      <c r="L1397" s="196" t="str">
        <v/>
      </c>
      <c r="M1397" s="196"/>
    </row>
    <row r="1398" spans="1:13" ht="14.4" x14ac:dyDescent="0.3">
      <c r="A1398" s="189" t="str">
        <f ca="1">IFERROR(__xludf.DUMMYFUNCTION("""COMPUTED_VALUE"""),"OKM")</f>
        <v>OKM</v>
      </c>
      <c r="B1398" s="195" t="str">
        <f ca="1">IFERROR(__xludf.DUMMYFUNCTION("""COMPUTED_VALUE"""),"Brian Stegmaier")</f>
        <v>Brian Stegmaier</v>
      </c>
      <c r="C1398" s="189">
        <f ca="1">IFERROR(__xludf.DUMMYFUNCTION("""COMPUTED_VALUE"""),10)</f>
        <v>10</v>
      </c>
      <c r="D1398" s="189" t="str">
        <f ca="1">IFERROR(__xludf.DUMMYFUNCTION("""COMPUTED_VALUE"""),"B")</f>
        <v>B</v>
      </c>
      <c r="E1398" s="189" t="str">
        <f ca="1">IFERROR(__xludf.DUMMYFUNCTION("""COMPUTED_VALUE"""),"F")</f>
        <v>F</v>
      </c>
      <c r="F1398" s="189" t="str">
        <f ca="1">IFERROR(__xludf.DUMMYFUNCTION("""COMPUTED_VALUE"""),"J")</f>
        <v>J</v>
      </c>
      <c r="G1398" s="189">
        <f ca="1">IFERROR(__xludf.DUMMYFUNCTION("""COMPUTED_VALUE"""),1)</f>
        <v>1</v>
      </c>
      <c r="H1398" s="196" t="s">
        <v>591</v>
      </c>
      <c r="I1398" s="196"/>
      <c r="J1398" s="196" t="s">
        <v>29</v>
      </c>
      <c r="K1398" s="196"/>
      <c r="L1398" s="196" t="str">
        <v xml:space="preserve"> 72.20</v>
      </c>
      <c r="M1398" s="196"/>
    </row>
    <row r="1399" spans="1:13" ht="14.4" x14ac:dyDescent="0.3">
      <c r="A1399" s="189" t="str">
        <f ca="1">IFERROR(__xludf.DUMMYFUNCTION("""COMPUTED_VALUE"""),"OKM")</f>
        <v>OKM</v>
      </c>
      <c r="B1399" s="195" t="str">
        <f ca="1">IFERROR(__xludf.DUMMYFUNCTION("""COMPUTED_VALUE"""),"David Rhea")</f>
        <v>David Rhea</v>
      </c>
      <c r="C1399" s="189">
        <f ca="1">IFERROR(__xludf.DUMMYFUNCTION("""COMPUTED_VALUE"""),10)</f>
        <v>10</v>
      </c>
      <c r="D1399" s="189" t="str">
        <f ca="1">IFERROR(__xludf.DUMMYFUNCTION("""COMPUTED_VALUE"""),"B")</f>
        <v>B</v>
      </c>
      <c r="E1399" s="189" t="str">
        <f ca="1">IFERROR(__xludf.DUMMYFUNCTION("""COMPUTED_VALUE"""),"F")</f>
        <v>F</v>
      </c>
      <c r="F1399" s="189" t="str">
        <f ca="1">IFERROR(__xludf.DUMMYFUNCTION("""COMPUTED_VALUE"""),"J")</f>
        <v>J</v>
      </c>
      <c r="G1399" s="189">
        <f ca="1">IFERROR(__xludf.DUMMYFUNCTION("""COMPUTED_VALUE"""),1)</f>
        <v>1</v>
      </c>
      <c r="H1399" s="196" t="s">
        <v>592</v>
      </c>
      <c r="I1399" s="196"/>
      <c r="J1399" s="196" t="s">
        <v>29</v>
      </c>
      <c r="K1399" s="196"/>
      <c r="L1399" s="196" t="str">
        <v xml:space="preserve"> 36.20</v>
      </c>
      <c r="M1399" s="196"/>
    </row>
    <row r="1400" spans="1:13" ht="14.4" x14ac:dyDescent="0.3">
      <c r="A1400" s="189" t="str">
        <f ca="1">IFERROR(__xludf.DUMMYFUNCTION("""COMPUTED_VALUE"""),"OKM")</f>
        <v>OKM</v>
      </c>
      <c r="B1400" s="195" t="str">
        <f ca="1">IFERROR(__xludf.DUMMYFUNCTION("""COMPUTED_VALUE"""),"Graham Evans")</f>
        <v>Graham Evans</v>
      </c>
      <c r="C1400" s="189">
        <f ca="1">IFERROR(__xludf.DUMMYFUNCTION("""COMPUTED_VALUE"""),7)</f>
        <v>7</v>
      </c>
      <c r="D1400" s="189" t="str">
        <f ca="1">IFERROR(__xludf.DUMMYFUNCTION("""COMPUTED_VALUE"""),"B")</f>
        <v>B</v>
      </c>
      <c r="E1400" s="189" t="str">
        <f ca="1">IFERROR(__xludf.DUMMYFUNCTION("""COMPUTED_VALUE"""),"F")</f>
        <v>F</v>
      </c>
      <c r="F1400" s="189" t="str">
        <f ca="1">IFERROR(__xludf.DUMMYFUNCTION("""COMPUTED_VALUE"""),"J")</f>
        <v>J</v>
      </c>
      <c r="G1400" s="189">
        <f ca="1">IFERROR(__xludf.DUMMYFUNCTION("""COMPUTED_VALUE"""),1)</f>
        <v>1</v>
      </c>
      <c r="H1400" s="196" t="s">
        <v>142</v>
      </c>
      <c r="I1400" s="196"/>
      <c r="J1400" s="196" t="s">
        <v>29</v>
      </c>
      <c r="K1400" s="196"/>
      <c r="L1400" s="196" t="str">
        <v xml:space="preserve"> 34.95</v>
      </c>
      <c r="M1400" s="196"/>
    </row>
    <row r="1401" spans="1:13" ht="14.4" x14ac:dyDescent="0.3">
      <c r="A1401" s="189" t="str">
        <f ca="1">IFERROR(__xludf.DUMMYFUNCTION("""COMPUTED_VALUE"""),"OKM")</f>
        <v>OKM</v>
      </c>
      <c r="B1401" s="195" t="str">
        <f ca="1">IFERROR(__xludf.DUMMYFUNCTION("""COMPUTED_VALUE"""),"Grayson DeMark")</f>
        <v>Grayson DeMark</v>
      </c>
      <c r="C1401" s="189">
        <f ca="1">IFERROR(__xludf.DUMMYFUNCTION("""COMPUTED_VALUE"""),9)</f>
        <v>9</v>
      </c>
      <c r="D1401" s="189" t="str">
        <f ca="1">IFERROR(__xludf.DUMMYFUNCTION("""COMPUTED_VALUE"""),"B")</f>
        <v>B</v>
      </c>
      <c r="E1401" s="189" t="str">
        <f ca="1">IFERROR(__xludf.DUMMYFUNCTION("""COMPUTED_VALUE"""),"F")</f>
        <v>F</v>
      </c>
      <c r="F1401" s="189" t="str">
        <f ca="1">IFERROR(__xludf.DUMMYFUNCTION("""COMPUTED_VALUE"""),"J")</f>
        <v>J</v>
      </c>
      <c r="G1401" s="189">
        <f ca="1">IFERROR(__xludf.DUMMYFUNCTION("""COMPUTED_VALUE"""),1)</f>
        <v>1</v>
      </c>
      <c r="H1401" s="196" t="s">
        <v>551</v>
      </c>
      <c r="I1401" s="196"/>
      <c r="J1401" s="196" t="s">
        <v>29</v>
      </c>
      <c r="K1401" s="196"/>
      <c r="L1401" s="196" t="str">
        <v xml:space="preserve"> 50.55</v>
      </c>
      <c r="M1401" s="196"/>
    </row>
    <row r="1402" spans="1:13" ht="14.4" x14ac:dyDescent="0.3">
      <c r="A1402" s="189" t="str">
        <f ca="1">IFERROR(__xludf.DUMMYFUNCTION("""COMPUTED_VALUE"""),"OKM")</f>
        <v>OKM</v>
      </c>
      <c r="B1402" s="195" t="str">
        <f ca="1">IFERROR(__xludf.DUMMYFUNCTION("""COMPUTED_VALUE"""),"Jake Conques")</f>
        <v>Jake Conques</v>
      </c>
      <c r="C1402" s="189">
        <f ca="1">IFERROR(__xludf.DUMMYFUNCTION("""COMPUTED_VALUE"""),10)</f>
        <v>10</v>
      </c>
      <c r="D1402" s="189" t="str">
        <f ca="1">IFERROR(__xludf.DUMMYFUNCTION("""COMPUTED_VALUE"""),"B")</f>
        <v>B</v>
      </c>
      <c r="E1402" s="189" t="str">
        <f ca="1">IFERROR(__xludf.DUMMYFUNCTION("""COMPUTED_VALUE"""),"F")</f>
        <v>F</v>
      </c>
      <c r="F1402" s="189" t="str">
        <f ca="1">IFERROR(__xludf.DUMMYFUNCTION("""COMPUTED_VALUE"""),"J")</f>
        <v>J</v>
      </c>
      <c r="G1402" s="189">
        <f ca="1">IFERROR(__xludf.DUMMYFUNCTION("""COMPUTED_VALUE"""),1)</f>
        <v>1</v>
      </c>
      <c r="H1402" s="196" t="s">
        <v>593</v>
      </c>
      <c r="I1402" s="196"/>
      <c r="J1402" s="196" t="s">
        <v>64</v>
      </c>
      <c r="K1402" s="196"/>
      <c r="L1402" s="196" t="str">
        <v xml:space="preserve"> -79.65</v>
      </c>
      <c r="M1402" s="196"/>
    </row>
    <row r="1403" spans="1:13" ht="14.4" x14ac:dyDescent="0.3">
      <c r="A1403" s="189" t="str">
        <f ca="1">IFERROR(__xludf.DUMMYFUNCTION("""COMPUTED_VALUE"""),"OKM")</f>
        <v>OKM</v>
      </c>
      <c r="B1403" s="195" t="str">
        <f ca="1">IFERROR(__xludf.DUMMYFUNCTION("""COMPUTED_VALUE"""),"Michael Warner")</f>
        <v>Michael Warner</v>
      </c>
      <c r="C1403" s="189">
        <f ca="1">IFERROR(__xludf.DUMMYFUNCTION("""COMPUTED_VALUE"""),10)</f>
        <v>10</v>
      </c>
      <c r="D1403" s="189" t="str">
        <f ca="1">IFERROR(__xludf.DUMMYFUNCTION("""COMPUTED_VALUE"""),"B")</f>
        <v>B</v>
      </c>
      <c r="E1403" s="189" t="str">
        <f ca="1">IFERROR(__xludf.DUMMYFUNCTION("""COMPUTED_VALUE"""),"F")</f>
        <v>F</v>
      </c>
      <c r="F1403" s="189" t="str">
        <f ca="1">IFERROR(__xludf.DUMMYFUNCTION("""COMPUTED_VALUE"""),"J")</f>
        <v>J</v>
      </c>
      <c r="G1403" s="189">
        <f ca="1">IFERROR(__xludf.DUMMYFUNCTION("""COMPUTED_VALUE"""),1)</f>
        <v>1</v>
      </c>
      <c r="H1403" s="196" t="s">
        <v>401</v>
      </c>
      <c r="I1403" s="196"/>
      <c r="J1403" s="196" t="s">
        <v>29</v>
      </c>
      <c r="K1403" s="196"/>
      <c r="L1403" s="196" t="str">
        <v xml:space="preserve"> 23.65</v>
      </c>
      <c r="M1403" s="196"/>
    </row>
    <row r="1404" spans="1:13" ht="14.4" x14ac:dyDescent="0.3">
      <c r="A1404" s="189" t="str">
        <f ca="1">IFERROR(__xludf.DUMMYFUNCTION("""COMPUTED_VALUE"""),"OKM")</f>
        <v>OKM</v>
      </c>
      <c r="B1404" s="195" t="str">
        <f ca="1">IFERROR(__xludf.DUMMYFUNCTION("""COMPUTED_VALUE"""),"Reese Duke")</f>
        <v>Reese Duke</v>
      </c>
      <c r="C1404" s="189">
        <f ca="1">IFERROR(__xludf.DUMMYFUNCTION("""COMPUTED_VALUE"""),9)</f>
        <v>9</v>
      </c>
      <c r="D1404" s="189" t="str">
        <f ca="1">IFERROR(__xludf.DUMMYFUNCTION("""COMPUTED_VALUE"""),"B")</f>
        <v>B</v>
      </c>
      <c r="E1404" s="189" t="str">
        <f ca="1">IFERROR(__xludf.DUMMYFUNCTION("""COMPUTED_VALUE"""),"F")</f>
        <v>F</v>
      </c>
      <c r="F1404" s="189" t="str">
        <f ca="1">IFERROR(__xludf.DUMMYFUNCTION("""COMPUTED_VALUE"""),"J")</f>
        <v>J</v>
      </c>
      <c r="G1404" s="189">
        <f ca="1">IFERROR(__xludf.DUMMYFUNCTION("""COMPUTED_VALUE"""),1)</f>
        <v>1</v>
      </c>
      <c r="H1404" s="196"/>
      <c r="I1404" s="196"/>
      <c r="J1404" s="196"/>
      <c r="K1404" s="196"/>
      <c r="L1404" s="196" t="str">
        <v/>
      </c>
      <c r="M1404" s="196"/>
    </row>
    <row r="1405" spans="1:13" ht="14.4" x14ac:dyDescent="0.3">
      <c r="A1405" s="189" t="str">
        <f ca="1">IFERROR(__xludf.DUMMYFUNCTION("""COMPUTED_VALUE"""),"OKM")</f>
        <v>OKM</v>
      </c>
      <c r="B1405" s="195" t="str">
        <f ca="1">IFERROR(__xludf.DUMMYFUNCTION("""COMPUTED_VALUE"""),"Anya Osterhout")</f>
        <v>Anya Osterhout</v>
      </c>
      <c r="C1405" s="189">
        <f ca="1">IFERROR(__xludf.DUMMYFUNCTION("""COMPUTED_VALUE"""),13)</f>
        <v>13</v>
      </c>
      <c r="D1405" s="189" t="str">
        <f ca="1">IFERROR(__xludf.DUMMYFUNCTION("""COMPUTED_VALUE"""),"G")</f>
        <v>G</v>
      </c>
      <c r="E1405" s="189" t="str">
        <f ca="1">IFERROR(__xludf.DUMMYFUNCTION("""COMPUTED_VALUE"""),"I")</f>
        <v>I</v>
      </c>
      <c r="F1405" s="189" t="str">
        <f ca="1">IFERROR(__xludf.DUMMYFUNCTION("""COMPUTED_VALUE"""),"S")</f>
        <v>S</v>
      </c>
      <c r="G1405" s="189">
        <f ca="1">IFERROR(__xludf.DUMMYFUNCTION("""COMPUTED_VALUE"""),1)</f>
        <v>1</v>
      </c>
      <c r="H1405" s="196"/>
      <c r="I1405" s="196"/>
      <c r="J1405" s="196"/>
      <c r="K1405" s="196"/>
      <c r="L1405" s="196" t="str">
        <v/>
      </c>
      <c r="M1405" s="196"/>
    </row>
    <row r="1406" spans="1:13" ht="14.4" x14ac:dyDescent="0.3">
      <c r="A1406" s="189" t="str">
        <f ca="1">IFERROR(__xludf.DUMMYFUNCTION("""COMPUTED_VALUE"""),"OKM")</f>
        <v>OKM</v>
      </c>
      <c r="B1406" s="195" t="str">
        <f ca="1">IFERROR(__xludf.DUMMYFUNCTION("""COMPUTED_VALUE"""),"Caroline Copes")</f>
        <v>Caroline Copes</v>
      </c>
      <c r="C1406" s="189">
        <f ca="1">IFERROR(__xludf.DUMMYFUNCTION("""COMPUTED_VALUE"""),14)</f>
        <v>14</v>
      </c>
      <c r="D1406" s="189" t="str">
        <f ca="1">IFERROR(__xludf.DUMMYFUNCTION("""COMPUTED_VALUE"""),"G")</f>
        <v>G</v>
      </c>
      <c r="E1406" s="189" t="str">
        <f ca="1">IFERROR(__xludf.DUMMYFUNCTION("""COMPUTED_VALUE"""),"I")</f>
        <v>I</v>
      </c>
      <c r="F1406" s="189" t="str">
        <f ca="1">IFERROR(__xludf.DUMMYFUNCTION("""COMPUTED_VALUE"""),"S")</f>
        <v>S</v>
      </c>
      <c r="G1406" s="189">
        <f ca="1">IFERROR(__xludf.DUMMYFUNCTION("""COMPUTED_VALUE"""),1)</f>
        <v>1</v>
      </c>
      <c r="H1406" s="196" t="s">
        <v>594</v>
      </c>
      <c r="I1406" s="196"/>
      <c r="J1406" s="196" t="s">
        <v>29</v>
      </c>
      <c r="K1406" s="196"/>
      <c r="L1406" s="196" t="str">
        <v xml:space="preserve"> 127.20</v>
      </c>
      <c r="M1406" s="196"/>
    </row>
    <row r="1407" spans="1:13" ht="14.4" x14ac:dyDescent="0.3">
      <c r="A1407" s="189" t="str">
        <f ca="1">IFERROR(__xludf.DUMMYFUNCTION("""COMPUTED_VALUE"""),"OKM")</f>
        <v>OKM</v>
      </c>
      <c r="B1407" s="195" t="str">
        <f ca="1">IFERROR(__xludf.DUMMYFUNCTION("""COMPUTED_VALUE"""),"Emery Mashuda")</f>
        <v>Emery Mashuda</v>
      </c>
      <c r="C1407" s="189">
        <f ca="1">IFERROR(__xludf.DUMMYFUNCTION("""COMPUTED_VALUE"""),13)</f>
        <v>13</v>
      </c>
      <c r="D1407" s="189" t="str">
        <f ca="1">IFERROR(__xludf.DUMMYFUNCTION("""COMPUTED_VALUE"""),"G")</f>
        <v>G</v>
      </c>
      <c r="E1407" s="189" t="str">
        <f ca="1">IFERROR(__xludf.DUMMYFUNCTION("""COMPUTED_VALUE"""),"I")</f>
        <v>I</v>
      </c>
      <c r="F1407" s="189" t="str">
        <f ca="1">IFERROR(__xludf.DUMMYFUNCTION("""COMPUTED_VALUE"""),"S")</f>
        <v>S</v>
      </c>
      <c r="G1407" s="189">
        <f ca="1">IFERROR(__xludf.DUMMYFUNCTION("""COMPUTED_VALUE"""),1)</f>
        <v>1</v>
      </c>
      <c r="H1407" s="196"/>
      <c r="I1407" s="196"/>
      <c r="J1407" s="196"/>
      <c r="K1407" s="196"/>
      <c r="L1407" s="196" t="str">
        <v/>
      </c>
      <c r="M1407" s="196"/>
    </row>
    <row r="1408" spans="1:13" ht="14.4" x14ac:dyDescent="0.3">
      <c r="A1408" s="189" t="str">
        <f ca="1">IFERROR(__xludf.DUMMYFUNCTION("""COMPUTED_VALUE"""),"OKM")</f>
        <v>OKM</v>
      </c>
      <c r="B1408" s="195" t="str">
        <f ca="1">IFERROR(__xludf.DUMMYFUNCTION("""COMPUTED_VALUE"""),"Lulu Reese")</f>
        <v>Lulu Reese</v>
      </c>
      <c r="C1408" s="189">
        <f ca="1">IFERROR(__xludf.DUMMYFUNCTION("""COMPUTED_VALUE"""),13)</f>
        <v>13</v>
      </c>
      <c r="D1408" s="189" t="str">
        <f ca="1">IFERROR(__xludf.DUMMYFUNCTION("""COMPUTED_VALUE"""),"G")</f>
        <v>G</v>
      </c>
      <c r="E1408" s="189" t="str">
        <f ca="1">IFERROR(__xludf.DUMMYFUNCTION("""COMPUTED_VALUE"""),"I")</f>
        <v>I</v>
      </c>
      <c r="F1408" s="189" t="str">
        <f ca="1">IFERROR(__xludf.DUMMYFUNCTION("""COMPUTED_VALUE"""),"S")</f>
        <v>S</v>
      </c>
      <c r="G1408" s="189">
        <f ca="1">IFERROR(__xludf.DUMMYFUNCTION("""COMPUTED_VALUE"""),1)</f>
        <v>1</v>
      </c>
      <c r="H1408" s="196"/>
      <c r="I1408" s="196"/>
      <c r="J1408" s="196"/>
      <c r="K1408" s="196"/>
      <c r="L1408" s="196" t="str">
        <v/>
      </c>
      <c r="M1408" s="196"/>
    </row>
    <row r="1409" spans="1:13" ht="14.4" x14ac:dyDescent="0.3">
      <c r="A1409" s="189" t="str">
        <f ca="1">IFERROR(__xludf.DUMMYFUNCTION("""COMPUTED_VALUE"""),"OKM")</f>
        <v>OKM</v>
      </c>
      <c r="B1409" s="195" t="str">
        <f ca="1">IFERROR(__xludf.DUMMYFUNCTION("""COMPUTED_VALUE"""),"Madelyn Speed")</f>
        <v>Madelyn Speed</v>
      </c>
      <c r="C1409" s="189">
        <f ca="1">IFERROR(__xludf.DUMMYFUNCTION("""COMPUTED_VALUE"""),13)</f>
        <v>13</v>
      </c>
      <c r="D1409" s="189" t="str">
        <f ca="1">IFERROR(__xludf.DUMMYFUNCTION("""COMPUTED_VALUE"""),"G")</f>
        <v>G</v>
      </c>
      <c r="E1409" s="189" t="str">
        <f ca="1">IFERROR(__xludf.DUMMYFUNCTION("""COMPUTED_VALUE"""),"I")</f>
        <v>I</v>
      </c>
      <c r="F1409" s="189" t="str">
        <f ca="1">IFERROR(__xludf.DUMMYFUNCTION("""COMPUTED_VALUE"""),"S")</f>
        <v>S</v>
      </c>
      <c r="G1409" s="189">
        <f ca="1">IFERROR(__xludf.DUMMYFUNCTION("""COMPUTED_VALUE"""),1)</f>
        <v>1</v>
      </c>
      <c r="H1409" s="196" t="s">
        <v>595</v>
      </c>
      <c r="I1409" s="196"/>
      <c r="J1409" s="196" t="s">
        <v>29</v>
      </c>
      <c r="K1409" s="196"/>
      <c r="L1409" s="196" t="str">
        <v xml:space="preserve"> 97.25</v>
      </c>
      <c r="M1409" s="196"/>
    </row>
    <row r="1410" spans="1:13" ht="14.4" x14ac:dyDescent="0.3">
      <c r="A1410" s="189" t="str">
        <f ca="1">IFERROR(__xludf.DUMMYFUNCTION("""COMPUTED_VALUE"""),"OKM")</f>
        <v>OKM</v>
      </c>
      <c r="B1410" s="195" t="str">
        <f ca="1">IFERROR(__xludf.DUMMYFUNCTION("""COMPUTED_VALUE"""),"Samantha Kluger")</f>
        <v>Samantha Kluger</v>
      </c>
      <c r="C1410" s="189">
        <f ca="1">IFERROR(__xludf.DUMMYFUNCTION("""COMPUTED_VALUE"""),13)</f>
        <v>13</v>
      </c>
      <c r="D1410" s="189" t="str">
        <f ca="1">IFERROR(__xludf.DUMMYFUNCTION("""COMPUTED_VALUE"""),"G")</f>
        <v>G</v>
      </c>
      <c r="E1410" s="189" t="str">
        <f ca="1">IFERROR(__xludf.DUMMYFUNCTION("""COMPUTED_VALUE"""),"I")</f>
        <v>I</v>
      </c>
      <c r="F1410" s="189" t="str">
        <f ca="1">IFERROR(__xludf.DUMMYFUNCTION("""COMPUTED_VALUE"""),"S")</f>
        <v>S</v>
      </c>
      <c r="G1410" s="189">
        <f ca="1">IFERROR(__xludf.DUMMYFUNCTION("""COMPUTED_VALUE"""),1)</f>
        <v>1</v>
      </c>
      <c r="H1410" s="196" t="s">
        <v>596</v>
      </c>
      <c r="I1410" s="196"/>
      <c r="J1410" s="196" t="s">
        <v>64</v>
      </c>
      <c r="K1410" s="196"/>
      <c r="L1410" s="196" t="str">
        <v xml:space="preserve"> -146.65</v>
      </c>
      <c r="M1410" s="196"/>
    </row>
    <row r="1411" spans="1:13" ht="14.4" x14ac:dyDescent="0.3">
      <c r="A1411" s="189" t="str">
        <f ca="1">IFERROR(__xludf.DUMMYFUNCTION("""COMPUTED_VALUE"""),"OKM")</f>
        <v>OKM</v>
      </c>
      <c r="B1411" s="195" t="str">
        <f ca="1">IFERROR(__xludf.DUMMYFUNCTION("""COMPUTED_VALUE"""),"Shannon Stegmaier")</f>
        <v>Shannon Stegmaier</v>
      </c>
      <c r="C1411" s="189">
        <f ca="1">IFERROR(__xludf.DUMMYFUNCTION("""COMPUTED_VALUE"""),13)</f>
        <v>13</v>
      </c>
      <c r="D1411" s="189" t="str">
        <f ca="1">IFERROR(__xludf.DUMMYFUNCTION("""COMPUTED_VALUE"""),"G")</f>
        <v>G</v>
      </c>
      <c r="E1411" s="189" t="str">
        <f ca="1">IFERROR(__xludf.DUMMYFUNCTION("""COMPUTED_VALUE"""),"I")</f>
        <v>I</v>
      </c>
      <c r="F1411" s="189" t="str">
        <f ca="1">IFERROR(__xludf.DUMMYFUNCTION("""COMPUTED_VALUE"""),"S")</f>
        <v>S</v>
      </c>
      <c r="G1411" s="189">
        <f ca="1">IFERROR(__xludf.DUMMYFUNCTION("""COMPUTED_VALUE"""),1)</f>
        <v>1</v>
      </c>
      <c r="H1411" s="196" t="s">
        <v>129</v>
      </c>
      <c r="I1411" s="196"/>
      <c r="J1411" s="196" t="s">
        <v>64</v>
      </c>
      <c r="K1411" s="196"/>
      <c r="L1411" s="196" t="str">
        <v xml:space="preserve"> -149.45</v>
      </c>
      <c r="M1411" s="196"/>
    </row>
    <row r="1412" spans="1:13" ht="14.4" x14ac:dyDescent="0.3">
      <c r="A1412" s="189" t="str">
        <f ca="1">IFERROR(__xludf.DUMMYFUNCTION("""COMPUTED_VALUE"""),"OKM")</f>
        <v>OKM</v>
      </c>
      <c r="B1412" s="195" t="str">
        <f ca="1">IFERROR(__xludf.DUMMYFUNCTION("""COMPUTED_VALUE"""),"Taryn Kaiser")</f>
        <v>Taryn Kaiser</v>
      </c>
      <c r="C1412" s="189">
        <f ca="1">IFERROR(__xludf.DUMMYFUNCTION("""COMPUTED_VALUE"""),14)</f>
        <v>14</v>
      </c>
      <c r="D1412" s="189" t="str">
        <f ca="1">IFERROR(__xludf.DUMMYFUNCTION("""COMPUTED_VALUE"""),"G")</f>
        <v>G</v>
      </c>
      <c r="E1412" s="189" t="str">
        <f ca="1">IFERROR(__xludf.DUMMYFUNCTION("""COMPUTED_VALUE"""),"I")</f>
        <v>I</v>
      </c>
      <c r="F1412" s="189" t="str">
        <f ca="1">IFERROR(__xludf.DUMMYFUNCTION("""COMPUTED_VALUE"""),"S")</f>
        <v>S</v>
      </c>
      <c r="G1412" s="189">
        <f ca="1">IFERROR(__xludf.DUMMYFUNCTION("""COMPUTED_VALUE"""),1)</f>
        <v>1</v>
      </c>
      <c r="H1412" s="196" t="s">
        <v>597</v>
      </c>
      <c r="I1412" s="196"/>
      <c r="J1412" s="196" t="s">
        <v>29</v>
      </c>
      <c r="K1412" s="196"/>
      <c r="L1412" s="196" t="str">
        <v xml:space="preserve"> 103.30</v>
      </c>
      <c r="M1412" s="196"/>
    </row>
    <row r="1413" spans="1:13" ht="14.4" x14ac:dyDescent="0.3">
      <c r="A1413" s="189" t="str">
        <f ca="1">IFERROR(__xludf.DUMMYFUNCTION("""COMPUTED_VALUE"""),"OKM")</f>
        <v>OKM</v>
      </c>
      <c r="B1413" s="195" t="str">
        <f ca="1">IFERROR(__xludf.DUMMYFUNCTION("""COMPUTED_VALUE"""),"Luke Nobles")</f>
        <v>Luke Nobles</v>
      </c>
      <c r="C1413" s="189">
        <f ca="1">IFERROR(__xludf.DUMMYFUNCTION("""COMPUTED_VALUE"""),13)</f>
        <v>13</v>
      </c>
      <c r="D1413" s="189" t="str">
        <f ca="1">IFERROR(__xludf.DUMMYFUNCTION("""COMPUTED_VALUE"""),"B")</f>
        <v>B</v>
      </c>
      <c r="E1413" s="189" t="str">
        <f ca="1">IFERROR(__xludf.DUMMYFUNCTION("""COMPUTED_VALUE"""),"I")</f>
        <v>I</v>
      </c>
      <c r="F1413" s="189" t="str">
        <f ca="1">IFERROR(__xludf.DUMMYFUNCTION("""COMPUTED_VALUE"""),"S")</f>
        <v>S</v>
      </c>
      <c r="G1413" s="189">
        <f ca="1">IFERROR(__xludf.DUMMYFUNCTION("""COMPUTED_VALUE"""),1)</f>
        <v>1</v>
      </c>
      <c r="H1413" s="196"/>
      <c r="I1413" s="196"/>
      <c r="J1413" s="196"/>
      <c r="K1413" s="196"/>
      <c r="L1413" s="196" t="str">
        <v/>
      </c>
      <c r="M1413" s="196"/>
    </row>
    <row r="1414" spans="1:13" ht="14.4" x14ac:dyDescent="0.3">
      <c r="A1414" s="189" t="str">
        <f ca="1">IFERROR(__xludf.DUMMYFUNCTION("""COMPUTED_VALUE"""),"OKM")</f>
        <v>OKM</v>
      </c>
      <c r="B1414" s="195" t="str">
        <f ca="1">IFERROR(__xludf.DUMMYFUNCTION("""COMPUTED_VALUE"""),"Alexandra Bagully")</f>
        <v>Alexandra Bagully</v>
      </c>
      <c r="C1414" s="189">
        <f ca="1">IFERROR(__xludf.DUMMYFUNCTION("""COMPUTED_VALUE"""),12)</f>
        <v>12</v>
      </c>
      <c r="D1414" s="189" t="str">
        <f ca="1">IFERROR(__xludf.DUMMYFUNCTION("""COMPUTED_VALUE"""),"G")</f>
        <v>G</v>
      </c>
      <c r="E1414" s="189" t="str">
        <f ca="1">IFERROR(__xludf.DUMMYFUNCTION("""COMPUTED_VALUE"""),"J")</f>
        <v>J</v>
      </c>
      <c r="F1414" s="189" t="str">
        <f ca="1">IFERROR(__xludf.DUMMYFUNCTION("""COMPUTED_VALUE"""),"I")</f>
        <v>I</v>
      </c>
      <c r="G1414" s="189">
        <f ca="1">IFERROR(__xludf.DUMMYFUNCTION("""COMPUTED_VALUE"""),1)</f>
        <v>1</v>
      </c>
      <c r="H1414" s="196" t="s">
        <v>598</v>
      </c>
      <c r="I1414" s="196"/>
      <c r="J1414" s="196" t="s">
        <v>29</v>
      </c>
      <c r="K1414" s="196"/>
      <c r="L1414" s="196" t="str">
        <v xml:space="preserve"> 60.10</v>
      </c>
      <c r="M1414" s="196"/>
    </row>
    <row r="1415" spans="1:13" ht="14.4" x14ac:dyDescent="0.3">
      <c r="A1415" s="189" t="str">
        <f ca="1">IFERROR(__xludf.DUMMYFUNCTION("""COMPUTED_VALUE"""),"OKM")</f>
        <v>OKM</v>
      </c>
      <c r="B1415" s="195" t="str">
        <f ca="1">IFERROR(__xludf.DUMMYFUNCTION("""COMPUTED_VALUE"""),"Cailee Kaiser")</f>
        <v>Cailee Kaiser</v>
      </c>
      <c r="C1415" s="189">
        <f ca="1">IFERROR(__xludf.DUMMYFUNCTION("""COMPUTED_VALUE"""),11)</f>
        <v>11</v>
      </c>
      <c r="D1415" s="189" t="str">
        <f ca="1">IFERROR(__xludf.DUMMYFUNCTION("""COMPUTED_VALUE"""),"G")</f>
        <v>G</v>
      </c>
      <c r="E1415" s="189" t="str">
        <f ca="1">IFERROR(__xludf.DUMMYFUNCTION("""COMPUTED_VALUE"""),"J")</f>
        <v>J</v>
      </c>
      <c r="F1415" s="189" t="str">
        <f ca="1">IFERROR(__xludf.DUMMYFUNCTION("""COMPUTED_VALUE"""),"I")</f>
        <v>I</v>
      </c>
      <c r="G1415" s="189">
        <f ca="1">IFERROR(__xludf.DUMMYFUNCTION("""COMPUTED_VALUE"""),1)</f>
        <v>1</v>
      </c>
      <c r="H1415" s="196" t="s">
        <v>599</v>
      </c>
      <c r="I1415" s="196"/>
      <c r="J1415" s="196" t="s">
        <v>29</v>
      </c>
      <c r="K1415" s="196"/>
      <c r="L1415" s="196" t="str">
        <v xml:space="preserve"> 57.80</v>
      </c>
      <c r="M1415" s="196"/>
    </row>
    <row r="1416" spans="1:13" ht="14.4" x14ac:dyDescent="0.3">
      <c r="A1416" s="189" t="str">
        <f ca="1">IFERROR(__xludf.DUMMYFUNCTION("""COMPUTED_VALUE"""),"OKM")</f>
        <v>OKM</v>
      </c>
      <c r="B1416" s="195" t="str">
        <f ca="1">IFERROR(__xludf.DUMMYFUNCTION("""COMPUTED_VALUE"""),"Esther Nobles")</f>
        <v>Esther Nobles</v>
      </c>
      <c r="C1416" s="189">
        <f ca="1">IFERROR(__xludf.DUMMYFUNCTION("""COMPUTED_VALUE"""),11)</f>
        <v>11</v>
      </c>
      <c r="D1416" s="189" t="str">
        <f ca="1">IFERROR(__xludf.DUMMYFUNCTION("""COMPUTED_VALUE"""),"G")</f>
        <v>G</v>
      </c>
      <c r="E1416" s="189" t="str">
        <f ca="1">IFERROR(__xludf.DUMMYFUNCTION("""COMPUTED_VALUE"""),"J")</f>
        <v>J</v>
      </c>
      <c r="F1416" s="189" t="str">
        <f ca="1">IFERROR(__xludf.DUMMYFUNCTION("""COMPUTED_VALUE"""),"I")</f>
        <v>I</v>
      </c>
      <c r="G1416" s="189">
        <f ca="1">IFERROR(__xludf.DUMMYFUNCTION("""COMPUTED_VALUE"""),1)</f>
        <v>1</v>
      </c>
      <c r="H1416" s="196"/>
      <c r="I1416" s="196"/>
      <c r="J1416" s="196"/>
      <c r="K1416" s="196"/>
      <c r="L1416" s="196" t="str">
        <v/>
      </c>
      <c r="M1416" s="196"/>
    </row>
    <row r="1417" spans="1:13" ht="14.4" x14ac:dyDescent="0.3">
      <c r="A1417" s="189" t="str">
        <f ca="1">IFERROR(__xludf.DUMMYFUNCTION("""COMPUTED_VALUE"""),"OKM")</f>
        <v>OKM</v>
      </c>
      <c r="B1417" s="195" t="str">
        <f ca="1">IFERROR(__xludf.DUMMYFUNCTION("""COMPUTED_VALUE"""),"Paige Randall")</f>
        <v>Paige Randall</v>
      </c>
      <c r="C1417" s="189">
        <f ca="1">IFERROR(__xludf.DUMMYFUNCTION("""COMPUTED_VALUE"""),12)</f>
        <v>12</v>
      </c>
      <c r="D1417" s="189" t="str">
        <f ca="1">IFERROR(__xludf.DUMMYFUNCTION("""COMPUTED_VALUE"""),"G")</f>
        <v>G</v>
      </c>
      <c r="E1417" s="189" t="str">
        <f ca="1">IFERROR(__xludf.DUMMYFUNCTION("""COMPUTED_VALUE"""),"J")</f>
        <v>J</v>
      </c>
      <c r="F1417" s="189" t="str">
        <f ca="1">IFERROR(__xludf.DUMMYFUNCTION("""COMPUTED_VALUE"""),"I")</f>
        <v>I</v>
      </c>
      <c r="G1417" s="189">
        <f ca="1">IFERROR(__xludf.DUMMYFUNCTION("""COMPUTED_VALUE"""),1)</f>
        <v>1</v>
      </c>
      <c r="H1417" s="196" t="s">
        <v>600</v>
      </c>
      <c r="I1417" s="196"/>
      <c r="J1417" s="196" t="s">
        <v>29</v>
      </c>
      <c r="K1417" s="196"/>
      <c r="L1417" s="196" t="str">
        <v xml:space="preserve"> 75.25</v>
      </c>
      <c r="M1417" s="196"/>
    </row>
    <row r="1418" spans="1:13" ht="14.4" x14ac:dyDescent="0.3">
      <c r="A1418" s="189" t="str">
        <f ca="1">IFERROR(__xludf.DUMMYFUNCTION("""COMPUTED_VALUE"""),"OKM")</f>
        <v>OKM</v>
      </c>
      <c r="B1418" s="195" t="str">
        <f ca="1">IFERROR(__xludf.DUMMYFUNCTION("""COMPUTED_VALUE"""),"Taylor Kluger")</f>
        <v>Taylor Kluger</v>
      </c>
      <c r="C1418" s="189">
        <f ca="1">IFERROR(__xludf.DUMMYFUNCTION("""COMPUTED_VALUE"""),11)</f>
        <v>11</v>
      </c>
      <c r="D1418" s="189" t="str">
        <f ca="1">IFERROR(__xludf.DUMMYFUNCTION("""COMPUTED_VALUE"""),"G")</f>
        <v>G</v>
      </c>
      <c r="E1418" s="189" t="str">
        <f ca="1">IFERROR(__xludf.DUMMYFUNCTION("""COMPUTED_VALUE"""),"J")</f>
        <v>J</v>
      </c>
      <c r="F1418" s="189" t="str">
        <f ca="1">IFERROR(__xludf.DUMMYFUNCTION("""COMPUTED_VALUE"""),"I")</f>
        <v>I</v>
      </c>
      <c r="G1418" s="189">
        <f ca="1">IFERROR(__xludf.DUMMYFUNCTION("""COMPUTED_VALUE"""),1)</f>
        <v>1</v>
      </c>
      <c r="H1418" s="196"/>
      <c r="I1418" s="196"/>
      <c r="J1418" s="196"/>
      <c r="K1418" s="196"/>
      <c r="L1418" s="196" t="str">
        <v/>
      </c>
      <c r="M1418" s="196"/>
    </row>
    <row r="1419" spans="1:13" ht="14.4" x14ac:dyDescent="0.3">
      <c r="A1419" s="189" t="str">
        <f ca="1">IFERROR(__xludf.DUMMYFUNCTION("""COMPUTED_VALUE"""),"OKM")</f>
        <v>OKM</v>
      </c>
      <c r="B1419" s="195" t="str">
        <f ca="1">IFERROR(__xludf.DUMMYFUNCTION("""COMPUTED_VALUE"""),"Jackson Warner")</f>
        <v>Jackson Warner</v>
      </c>
      <c r="C1419" s="189">
        <f ca="1">IFERROR(__xludf.DUMMYFUNCTION("""COMPUTED_VALUE"""),12)</f>
        <v>12</v>
      </c>
      <c r="D1419" s="189" t="str">
        <f ca="1">IFERROR(__xludf.DUMMYFUNCTION("""COMPUTED_VALUE"""),"B")</f>
        <v>B</v>
      </c>
      <c r="E1419" s="189" t="str">
        <f ca="1">IFERROR(__xludf.DUMMYFUNCTION("""COMPUTED_VALUE"""),"J")</f>
        <v>J</v>
      </c>
      <c r="F1419" s="189" t="str">
        <f ca="1">IFERROR(__xludf.DUMMYFUNCTION("""COMPUTED_VALUE"""),"I")</f>
        <v>I</v>
      </c>
      <c r="G1419" s="189">
        <f ca="1">IFERROR(__xludf.DUMMYFUNCTION("""COMPUTED_VALUE"""),1)</f>
        <v>1</v>
      </c>
      <c r="H1419" s="196"/>
      <c r="I1419" s="196"/>
      <c r="J1419" s="196"/>
      <c r="K1419" s="196"/>
      <c r="L1419" s="196" t="str">
        <v/>
      </c>
      <c r="M1419" s="196"/>
    </row>
    <row r="1420" spans="1:13" ht="14.4" x14ac:dyDescent="0.3">
      <c r="A1420" s="189" t="str">
        <f ca="1">IFERROR(__xludf.DUMMYFUNCTION("""COMPUTED_VALUE"""),"OKM")</f>
        <v>OKM</v>
      </c>
      <c r="B1420" s="195" t="str">
        <f ca="1">IFERROR(__xludf.DUMMYFUNCTION("""COMPUTED_VALUE"""),"Matthew Hughes")</f>
        <v>Matthew Hughes</v>
      </c>
      <c r="C1420" s="189">
        <f ca="1">IFERROR(__xludf.DUMMYFUNCTION("""COMPUTED_VALUE"""),12)</f>
        <v>12</v>
      </c>
      <c r="D1420" s="189" t="str">
        <f ca="1">IFERROR(__xludf.DUMMYFUNCTION("""COMPUTED_VALUE"""),"B")</f>
        <v>B</v>
      </c>
      <c r="E1420" s="189" t="str">
        <f ca="1">IFERROR(__xludf.DUMMYFUNCTION("""COMPUTED_VALUE"""),"J")</f>
        <v>J</v>
      </c>
      <c r="F1420" s="189" t="str">
        <f ca="1">IFERROR(__xludf.DUMMYFUNCTION("""COMPUTED_VALUE"""),"I")</f>
        <v>I</v>
      </c>
      <c r="G1420" s="189">
        <f ca="1">IFERROR(__xludf.DUMMYFUNCTION("""COMPUTED_VALUE"""),1)</f>
        <v>1</v>
      </c>
      <c r="H1420" s="196"/>
      <c r="I1420" s="196"/>
      <c r="J1420" s="196"/>
      <c r="K1420" s="196"/>
      <c r="L1420" s="196" t="str">
        <v/>
      </c>
      <c r="M1420" s="196"/>
    </row>
    <row r="1421" spans="1:13" ht="14.4" x14ac:dyDescent="0.3">
      <c r="A1421" s="189" t="str">
        <f ca="1">IFERROR(__xludf.DUMMYFUNCTION("""COMPUTED_VALUE"""),"OKM")</f>
        <v>OKM</v>
      </c>
      <c r="B1421" s="195" t="str">
        <f ca="1">IFERROR(__xludf.DUMMYFUNCTION("""COMPUTED_VALUE"""),"Owen Reese")</f>
        <v>Owen Reese</v>
      </c>
      <c r="C1421" s="189">
        <f ca="1">IFERROR(__xludf.DUMMYFUNCTION("""COMPUTED_VALUE"""),11)</f>
        <v>11</v>
      </c>
      <c r="D1421" s="189" t="str">
        <f ca="1">IFERROR(__xludf.DUMMYFUNCTION("""COMPUTED_VALUE"""),"B")</f>
        <v>B</v>
      </c>
      <c r="E1421" s="189" t="str">
        <f ca="1">IFERROR(__xludf.DUMMYFUNCTION("""COMPUTED_VALUE"""),"J")</f>
        <v>J</v>
      </c>
      <c r="F1421" s="189" t="str">
        <f ca="1">IFERROR(__xludf.DUMMYFUNCTION("""COMPUTED_VALUE"""),"I")</f>
        <v>I</v>
      </c>
      <c r="G1421" s="189">
        <f ca="1">IFERROR(__xludf.DUMMYFUNCTION("""COMPUTED_VALUE"""),1)</f>
        <v>1</v>
      </c>
      <c r="H1421" s="196"/>
      <c r="I1421" s="196"/>
      <c r="J1421" s="196"/>
      <c r="K1421" s="196"/>
      <c r="L1421" s="196" t="str">
        <v/>
      </c>
      <c r="M1421" s="196"/>
    </row>
    <row r="1422" spans="1:13" ht="14.4" x14ac:dyDescent="0.3">
      <c r="A1422" s="189" t="str">
        <f ca="1">IFERROR(__xludf.DUMMYFUNCTION("""COMPUTED_VALUE"""),"OKM")</f>
        <v>OKM</v>
      </c>
      <c r="B1422" s="195" t="str">
        <f ca="1">IFERROR(__xludf.DUMMYFUNCTION("""COMPUTED_VALUE"""),"Reed Conques")</f>
        <v>Reed Conques</v>
      </c>
      <c r="C1422" s="189">
        <f ca="1">IFERROR(__xludf.DUMMYFUNCTION("""COMPUTED_VALUE"""),12)</f>
        <v>12</v>
      </c>
      <c r="D1422" s="189" t="str">
        <f ca="1">IFERROR(__xludf.DUMMYFUNCTION("""COMPUTED_VALUE"""),"B")</f>
        <v>B</v>
      </c>
      <c r="E1422" s="189" t="str">
        <f ca="1">IFERROR(__xludf.DUMMYFUNCTION("""COMPUTED_VALUE"""),"J")</f>
        <v>J</v>
      </c>
      <c r="F1422" s="189" t="str">
        <f ca="1">IFERROR(__xludf.DUMMYFUNCTION("""COMPUTED_VALUE"""),"I")</f>
        <v>I</v>
      </c>
      <c r="G1422" s="189">
        <f ca="1">IFERROR(__xludf.DUMMYFUNCTION("""COMPUTED_VALUE"""),1)</f>
        <v>1</v>
      </c>
      <c r="H1422" s="196" t="s">
        <v>601</v>
      </c>
      <c r="I1422" s="196"/>
      <c r="J1422" s="196" t="s">
        <v>29</v>
      </c>
      <c r="K1422" s="196"/>
      <c r="L1422" s="196" t="str">
        <v xml:space="preserve"> 63.65</v>
      </c>
      <c r="M1422" s="196"/>
    </row>
    <row r="1423" spans="1:13" ht="14.4" x14ac:dyDescent="0.3">
      <c r="A1423" s="189" t="str">
        <f ca="1">IFERROR(__xludf.DUMMYFUNCTION("""COMPUTED_VALUE"""),"OKM")</f>
        <v>OKM</v>
      </c>
      <c r="B1423" s="195" t="str">
        <f ca="1">IFERROR(__xludf.DUMMYFUNCTION("""COMPUTED_VALUE"""),"Treyton Green")</f>
        <v>Treyton Green</v>
      </c>
      <c r="C1423" s="189">
        <f ca="1">IFERROR(__xludf.DUMMYFUNCTION("""COMPUTED_VALUE"""),12)</f>
        <v>12</v>
      </c>
      <c r="D1423" s="189" t="str">
        <f ca="1">IFERROR(__xludf.DUMMYFUNCTION("""COMPUTED_VALUE"""),"B")</f>
        <v>B</v>
      </c>
      <c r="E1423" s="189" t="str">
        <f ca="1">IFERROR(__xludf.DUMMYFUNCTION("""COMPUTED_VALUE"""),"J")</f>
        <v>J</v>
      </c>
      <c r="F1423" s="189" t="str">
        <f ca="1">IFERROR(__xludf.DUMMYFUNCTION("""COMPUTED_VALUE"""),"I")</f>
        <v>I</v>
      </c>
      <c r="G1423" s="189">
        <f ca="1">IFERROR(__xludf.DUMMYFUNCTION("""COMPUTED_VALUE"""),1)</f>
        <v>1</v>
      </c>
      <c r="H1423" s="196" t="s">
        <v>602</v>
      </c>
      <c r="I1423" s="196"/>
      <c r="J1423" s="196" t="s">
        <v>64</v>
      </c>
      <c r="K1423" s="196"/>
      <c r="L1423" s="196" t="str">
        <v xml:space="preserve"> -86.70</v>
      </c>
      <c r="M1423" s="196"/>
    </row>
    <row r="1424" spans="1:13" ht="14.4" x14ac:dyDescent="0.3">
      <c r="A1424" s="189" t="str">
        <f ca="1">IFERROR(__xludf.DUMMYFUNCTION("""COMPUTED_VALUE"""),"OKM")</f>
        <v>OKM</v>
      </c>
      <c r="B1424" s="195" t="str">
        <f ca="1">IFERROR(__xludf.DUMMYFUNCTION("""COMPUTED_VALUE"""),"Rachael Pulice")</f>
        <v>Rachael Pulice</v>
      </c>
      <c r="C1424" s="189">
        <f ca="1">IFERROR(__xludf.DUMMYFUNCTION("""COMPUTED_VALUE"""),16)</f>
        <v>16</v>
      </c>
      <c r="D1424" s="189" t="str">
        <f ca="1">IFERROR(__xludf.DUMMYFUNCTION("""COMPUTED_VALUE"""),"G")</f>
        <v>G</v>
      </c>
      <c r="E1424" s="189" t="str">
        <f ca="1">IFERROR(__xludf.DUMMYFUNCTION("""COMPUTED_VALUE"""),"S")</f>
        <v>S</v>
      </c>
      <c r="F1424" s="189" t="str">
        <f ca="1">IFERROR(__xludf.DUMMYFUNCTION("""COMPUTED_VALUE"""),"S")</f>
        <v>S</v>
      </c>
      <c r="G1424" s="189">
        <f ca="1">IFERROR(__xludf.DUMMYFUNCTION("""COMPUTED_VALUE"""),1)</f>
        <v>1</v>
      </c>
      <c r="H1424" s="196" t="s">
        <v>603</v>
      </c>
      <c r="I1424" s="196"/>
      <c r="J1424" s="196" t="s">
        <v>29</v>
      </c>
      <c r="K1424" s="196"/>
      <c r="L1424" s="196" t="str">
        <v xml:space="preserve"> 151.55</v>
      </c>
      <c r="M1424" s="196"/>
    </row>
    <row r="1425" spans="1:13" ht="14.4" x14ac:dyDescent="0.3">
      <c r="A1425" s="189" t="str">
        <f ca="1">IFERROR(__xludf.DUMMYFUNCTION("""COMPUTED_VALUE"""),"OKM")</f>
        <v>OKM</v>
      </c>
      <c r="B1425" s="195" t="str">
        <f ca="1">IFERROR(__xludf.DUMMYFUNCTION("""COMPUTED_VALUE"""),"Liam Miller")</f>
        <v>Liam Miller</v>
      </c>
      <c r="C1425" s="189">
        <f ca="1">IFERROR(__xludf.DUMMYFUNCTION("""COMPUTED_VALUE"""),18)</f>
        <v>18</v>
      </c>
      <c r="D1425" s="189" t="str">
        <f ca="1">IFERROR(__xludf.DUMMYFUNCTION("""COMPUTED_VALUE"""),"B")</f>
        <v>B</v>
      </c>
      <c r="E1425" s="189" t="str">
        <f ca="1">IFERROR(__xludf.DUMMYFUNCTION("""COMPUTED_VALUE"""),"S")</f>
        <v>S</v>
      </c>
      <c r="F1425" s="189" t="str">
        <f ca="1">IFERROR(__xludf.DUMMYFUNCTION("""COMPUTED_VALUE"""),"S")</f>
        <v>S</v>
      </c>
      <c r="G1425" s="189">
        <f ca="1">IFERROR(__xludf.DUMMYFUNCTION("""COMPUTED_VALUE"""),1)</f>
        <v>1</v>
      </c>
      <c r="H1425" s="196"/>
      <c r="I1425" s="196"/>
      <c r="J1425" s="196"/>
      <c r="K1425" s="196"/>
      <c r="L1425" s="196" t="str">
        <v/>
      </c>
      <c r="M1425" s="196"/>
    </row>
    <row r="1426" spans="1:13" ht="14.4" x14ac:dyDescent="0.3">
      <c r="A1426" s="189" t="str">
        <f ca="1">IFERROR(__xludf.DUMMYFUNCTION("""COMPUTED_VALUE"""),"OKM")</f>
        <v>OKM</v>
      </c>
      <c r="B1426" s="195" t="str">
        <f ca="1">IFERROR(__xludf.DUMMYFUNCTION("""COMPUTED_VALUE"""),"Zavier Green")</f>
        <v>Zavier Green</v>
      </c>
      <c r="C1426" s="189">
        <f ca="1">IFERROR(__xludf.DUMMYFUNCTION("""COMPUTED_VALUE"""),17)</f>
        <v>17</v>
      </c>
      <c r="D1426" s="189" t="str">
        <f ca="1">IFERROR(__xludf.DUMMYFUNCTION("""COMPUTED_VALUE"""),"B")</f>
        <v>B</v>
      </c>
      <c r="E1426" s="189" t="str">
        <f ca="1">IFERROR(__xludf.DUMMYFUNCTION("""COMPUTED_VALUE"""),"S")</f>
        <v>S</v>
      </c>
      <c r="F1426" s="189" t="str">
        <f ca="1">IFERROR(__xludf.DUMMYFUNCTION("""COMPUTED_VALUE"""),"S")</f>
        <v>S</v>
      </c>
      <c r="G1426" s="189">
        <f ca="1">IFERROR(__xludf.DUMMYFUNCTION("""COMPUTED_VALUE"""),1)</f>
        <v>1</v>
      </c>
      <c r="H1426" s="196" t="s">
        <v>604</v>
      </c>
      <c r="I1426" s="196"/>
      <c r="J1426" s="196" t="s">
        <v>29</v>
      </c>
      <c r="K1426" s="196"/>
      <c r="L1426" s="196" t="str">
        <v xml:space="preserve"> 110.85</v>
      </c>
      <c r="M1426" s="196"/>
    </row>
    <row r="1427" spans="1:13" ht="14.4" x14ac:dyDescent="0.3">
      <c r="A1427" s="189" t="str">
        <f ca="1">IFERROR(__xludf.DUMMYFUNCTION("""COMPUTED_VALUE"""),"PAR")</f>
        <v>PAR</v>
      </c>
      <c r="B1427" s="195" t="str">
        <f ca="1">IFERROR(__xludf.DUMMYFUNCTION("""COMPUTED_VALUE"""),"Aislyn Burnside")</f>
        <v>Aislyn Burnside</v>
      </c>
      <c r="C1427" s="189">
        <f ca="1">IFERROR(__xludf.DUMMYFUNCTION("""COMPUTED_VALUE"""),9)</f>
        <v>9</v>
      </c>
      <c r="D1427" s="189" t="str">
        <f ca="1">IFERROR(__xludf.DUMMYFUNCTION("""COMPUTED_VALUE"""),"G")</f>
        <v>G</v>
      </c>
      <c r="E1427" s="189" t="str">
        <f ca="1">IFERROR(__xludf.DUMMYFUNCTION("""COMPUTED_VALUE"""),"F")</f>
        <v>F</v>
      </c>
      <c r="F1427" s="189" t="str">
        <f ca="1">IFERROR(__xludf.DUMMYFUNCTION("""COMPUTED_VALUE"""),"J")</f>
        <v>J</v>
      </c>
      <c r="G1427" s="189">
        <f ca="1">IFERROR(__xludf.DUMMYFUNCTION("""COMPUTED_VALUE"""),3)</f>
        <v>3</v>
      </c>
      <c r="H1427" s="196"/>
      <c r="I1427" s="196"/>
      <c r="J1427" s="196"/>
      <c r="K1427" s="196"/>
      <c r="L1427" s="196" t="str">
        <v/>
      </c>
      <c r="M1427" s="196"/>
    </row>
    <row r="1428" spans="1:13" ht="14.4" x14ac:dyDescent="0.3">
      <c r="A1428" s="189" t="str">
        <f ca="1">IFERROR(__xludf.DUMMYFUNCTION("""COMPUTED_VALUE"""),"PAR")</f>
        <v>PAR</v>
      </c>
      <c r="B1428" s="195" t="str">
        <f ca="1">IFERROR(__xludf.DUMMYFUNCTION("""COMPUTED_VALUE"""),"Ally Argenta")</f>
        <v>Ally Argenta</v>
      </c>
      <c r="C1428" s="189">
        <f ca="1">IFERROR(__xludf.DUMMYFUNCTION("""COMPUTED_VALUE"""),9)</f>
        <v>9</v>
      </c>
      <c r="D1428" s="189" t="str">
        <f ca="1">IFERROR(__xludf.DUMMYFUNCTION("""COMPUTED_VALUE"""),"G")</f>
        <v>G</v>
      </c>
      <c r="E1428" s="189" t="str">
        <f ca="1">IFERROR(__xludf.DUMMYFUNCTION("""COMPUTED_VALUE"""),"F")</f>
        <v>F</v>
      </c>
      <c r="F1428" s="189" t="str">
        <f ca="1">IFERROR(__xludf.DUMMYFUNCTION("""COMPUTED_VALUE"""),"J")</f>
        <v>J</v>
      </c>
      <c r="G1428" s="189">
        <f ca="1">IFERROR(__xludf.DUMMYFUNCTION("""COMPUTED_VALUE"""),3)</f>
        <v>3</v>
      </c>
      <c r="H1428" s="196"/>
      <c r="I1428" s="196"/>
      <c r="J1428" s="196"/>
      <c r="K1428" s="196"/>
      <c r="L1428" s="196" t="str">
        <v/>
      </c>
      <c r="M1428" s="196"/>
    </row>
    <row r="1429" spans="1:13" ht="14.4" x14ac:dyDescent="0.3">
      <c r="A1429" s="189" t="str">
        <f ca="1">IFERROR(__xludf.DUMMYFUNCTION("""COMPUTED_VALUE"""),"PAR")</f>
        <v>PAR</v>
      </c>
      <c r="B1429" s="195" t="str">
        <f ca="1">IFERROR(__xludf.DUMMYFUNCTION("""COMPUTED_VALUE"""),"Brielle Burnside")</f>
        <v>Brielle Burnside</v>
      </c>
      <c r="C1429" s="189">
        <f ca="1">IFERROR(__xludf.DUMMYFUNCTION("""COMPUTED_VALUE"""),10)</f>
        <v>10</v>
      </c>
      <c r="D1429" s="189" t="str">
        <f ca="1">IFERROR(__xludf.DUMMYFUNCTION("""COMPUTED_VALUE"""),"G")</f>
        <v>G</v>
      </c>
      <c r="E1429" s="189" t="str">
        <f ca="1">IFERROR(__xludf.DUMMYFUNCTION("""COMPUTED_VALUE"""),"F")</f>
        <v>F</v>
      </c>
      <c r="F1429" s="189" t="str">
        <f ca="1">IFERROR(__xludf.DUMMYFUNCTION("""COMPUTED_VALUE"""),"J")</f>
        <v>J</v>
      </c>
      <c r="G1429" s="189">
        <f ca="1">IFERROR(__xludf.DUMMYFUNCTION("""COMPUTED_VALUE"""),3)</f>
        <v>3</v>
      </c>
      <c r="H1429" s="196" t="s">
        <v>605</v>
      </c>
      <c r="I1429" s="196"/>
      <c r="J1429" s="196" t="s">
        <v>29</v>
      </c>
      <c r="K1429" s="196"/>
      <c r="L1429" s="196" t="str">
        <v xml:space="preserve"> 68.00</v>
      </c>
      <c r="M1429" s="196"/>
    </row>
    <row r="1430" spans="1:13" ht="14.4" x14ac:dyDescent="0.3">
      <c r="A1430" s="189" t="str">
        <f ca="1">IFERROR(__xludf.DUMMYFUNCTION("""COMPUTED_VALUE"""),"PAR")</f>
        <v>PAR</v>
      </c>
      <c r="B1430" s="195" t="str">
        <f ca="1">IFERROR(__xludf.DUMMYFUNCTION("""COMPUTED_VALUE"""),"Eleanor Edwards")</f>
        <v>Eleanor Edwards</v>
      </c>
      <c r="C1430" s="189">
        <f ca="1">IFERROR(__xludf.DUMMYFUNCTION("""COMPUTED_VALUE"""),7)</f>
        <v>7</v>
      </c>
      <c r="D1430" s="189" t="str">
        <f ca="1">IFERROR(__xludf.DUMMYFUNCTION("""COMPUTED_VALUE"""),"G")</f>
        <v>G</v>
      </c>
      <c r="E1430" s="189" t="str">
        <f ca="1">IFERROR(__xludf.DUMMYFUNCTION("""COMPUTED_VALUE"""),"F")</f>
        <v>F</v>
      </c>
      <c r="F1430" s="189" t="str">
        <f ca="1">IFERROR(__xludf.DUMMYFUNCTION("""COMPUTED_VALUE"""),"J")</f>
        <v>J</v>
      </c>
      <c r="G1430" s="189">
        <f ca="1">IFERROR(__xludf.DUMMYFUNCTION("""COMPUTED_VALUE"""),3)</f>
        <v>3</v>
      </c>
      <c r="H1430" s="196"/>
      <c r="I1430" s="196"/>
      <c r="J1430" s="196"/>
      <c r="K1430" s="196"/>
      <c r="L1430" s="196" t="str">
        <v/>
      </c>
      <c r="M1430" s="196"/>
    </row>
    <row r="1431" spans="1:13" ht="14.4" x14ac:dyDescent="0.3">
      <c r="A1431" s="189" t="str">
        <f ca="1">IFERROR(__xludf.DUMMYFUNCTION("""COMPUTED_VALUE"""),"PAR")</f>
        <v>PAR</v>
      </c>
      <c r="B1431" s="195" t="str">
        <f ca="1">IFERROR(__xludf.DUMMYFUNCTION("""COMPUTED_VALUE"""),"Elena Scott")</f>
        <v>Elena Scott</v>
      </c>
      <c r="C1431" s="189">
        <f ca="1">IFERROR(__xludf.DUMMYFUNCTION("""COMPUTED_VALUE"""),9)</f>
        <v>9</v>
      </c>
      <c r="D1431" s="189" t="str">
        <f ca="1">IFERROR(__xludf.DUMMYFUNCTION("""COMPUTED_VALUE"""),"G")</f>
        <v>G</v>
      </c>
      <c r="E1431" s="189" t="str">
        <f ca="1">IFERROR(__xludf.DUMMYFUNCTION("""COMPUTED_VALUE"""),"F")</f>
        <v>F</v>
      </c>
      <c r="F1431" s="189" t="str">
        <f ca="1">IFERROR(__xludf.DUMMYFUNCTION("""COMPUTED_VALUE"""),"J")</f>
        <v>J</v>
      </c>
      <c r="G1431" s="189">
        <f ca="1">IFERROR(__xludf.DUMMYFUNCTION("""COMPUTED_VALUE"""),3)</f>
        <v>3</v>
      </c>
      <c r="H1431" s="196" t="s">
        <v>606</v>
      </c>
      <c r="I1431" s="196"/>
      <c r="J1431" s="196" t="s">
        <v>29</v>
      </c>
      <c r="K1431" s="196"/>
      <c r="L1431" s="196" t="str">
        <v xml:space="preserve"> 44.80</v>
      </c>
      <c r="M1431" s="196"/>
    </row>
    <row r="1432" spans="1:13" ht="14.4" x14ac:dyDescent="0.3">
      <c r="A1432" s="189" t="str">
        <f ca="1">IFERROR(__xludf.DUMMYFUNCTION("""COMPUTED_VALUE"""),"PAR")</f>
        <v>PAR</v>
      </c>
      <c r="B1432" s="195" t="str">
        <f ca="1">IFERROR(__xludf.DUMMYFUNCTION("""COMPUTED_VALUE"""),"Ellie Schwarz")</f>
        <v>Ellie Schwarz</v>
      </c>
      <c r="C1432" s="189">
        <f ca="1">IFERROR(__xludf.DUMMYFUNCTION("""COMPUTED_VALUE"""),8)</f>
        <v>8</v>
      </c>
      <c r="D1432" s="189" t="str">
        <f ca="1">IFERROR(__xludf.DUMMYFUNCTION("""COMPUTED_VALUE"""),"G")</f>
        <v>G</v>
      </c>
      <c r="E1432" s="189" t="str">
        <f ca="1">IFERROR(__xludf.DUMMYFUNCTION("""COMPUTED_VALUE"""),"F")</f>
        <v>F</v>
      </c>
      <c r="F1432" s="189" t="str">
        <f ca="1">IFERROR(__xludf.DUMMYFUNCTION("""COMPUTED_VALUE"""),"J")</f>
        <v>J</v>
      </c>
      <c r="G1432" s="189">
        <f ca="1">IFERROR(__xludf.DUMMYFUNCTION("""COMPUTED_VALUE"""),3)</f>
        <v>3</v>
      </c>
      <c r="H1432" s="196"/>
      <c r="I1432" s="196"/>
      <c r="J1432" s="196"/>
      <c r="K1432" s="196"/>
      <c r="L1432" s="196" t="str">
        <v/>
      </c>
      <c r="M1432" s="196"/>
    </row>
    <row r="1433" spans="1:13" ht="14.4" x14ac:dyDescent="0.3">
      <c r="A1433" s="189" t="str">
        <f ca="1">IFERROR(__xludf.DUMMYFUNCTION("""COMPUTED_VALUE"""),"PAR")</f>
        <v>PAR</v>
      </c>
      <c r="B1433" s="195" t="str">
        <f ca="1">IFERROR(__xludf.DUMMYFUNCTION("""COMPUTED_VALUE"""),"Frankie Herrick")</f>
        <v>Frankie Herrick</v>
      </c>
      <c r="C1433" s="189">
        <f ca="1">IFERROR(__xludf.DUMMYFUNCTION("""COMPUTED_VALUE"""),9)</f>
        <v>9</v>
      </c>
      <c r="D1433" s="189" t="str">
        <f ca="1">IFERROR(__xludf.DUMMYFUNCTION("""COMPUTED_VALUE"""),"G")</f>
        <v>G</v>
      </c>
      <c r="E1433" s="189" t="str">
        <f ca="1">IFERROR(__xludf.DUMMYFUNCTION("""COMPUTED_VALUE"""),"F")</f>
        <v>F</v>
      </c>
      <c r="F1433" s="189" t="str">
        <f ca="1">IFERROR(__xludf.DUMMYFUNCTION("""COMPUTED_VALUE"""),"J")</f>
        <v>J</v>
      </c>
      <c r="G1433" s="189">
        <f ca="1">IFERROR(__xludf.DUMMYFUNCTION("""COMPUTED_VALUE"""),3)</f>
        <v>3</v>
      </c>
      <c r="H1433" s="196"/>
      <c r="I1433" s="196"/>
      <c r="J1433" s="196"/>
      <c r="K1433" s="196"/>
      <c r="L1433" s="196" t="str">
        <v/>
      </c>
      <c r="M1433" s="196"/>
    </row>
    <row r="1434" spans="1:13" ht="14.4" x14ac:dyDescent="0.3">
      <c r="A1434" s="189" t="str">
        <f ca="1">IFERROR(__xludf.DUMMYFUNCTION("""COMPUTED_VALUE"""),"PAR")</f>
        <v>PAR</v>
      </c>
      <c r="B1434" s="195" t="str">
        <f ca="1">IFERROR(__xludf.DUMMYFUNCTION("""COMPUTED_VALUE"""),"Gaby Smith")</f>
        <v>Gaby Smith</v>
      </c>
      <c r="C1434" s="189">
        <f ca="1">IFERROR(__xludf.DUMMYFUNCTION("""COMPUTED_VALUE"""),9)</f>
        <v>9</v>
      </c>
      <c r="D1434" s="189" t="str">
        <f ca="1">IFERROR(__xludf.DUMMYFUNCTION("""COMPUTED_VALUE"""),"G")</f>
        <v>G</v>
      </c>
      <c r="E1434" s="189" t="str">
        <f ca="1">IFERROR(__xludf.DUMMYFUNCTION("""COMPUTED_VALUE"""),"F")</f>
        <v>F</v>
      </c>
      <c r="F1434" s="189" t="str">
        <f ca="1">IFERROR(__xludf.DUMMYFUNCTION("""COMPUTED_VALUE"""),"J")</f>
        <v>J</v>
      </c>
      <c r="G1434" s="189">
        <f ca="1">IFERROR(__xludf.DUMMYFUNCTION("""COMPUTED_VALUE"""),3)</f>
        <v>3</v>
      </c>
      <c r="H1434" s="196"/>
      <c r="I1434" s="196"/>
      <c r="J1434" s="196"/>
      <c r="K1434" s="196"/>
      <c r="L1434" s="196" t="str">
        <v/>
      </c>
      <c r="M1434" s="196"/>
    </row>
    <row r="1435" spans="1:13" ht="14.4" x14ac:dyDescent="0.3">
      <c r="A1435" s="189" t="str">
        <f ca="1">IFERROR(__xludf.DUMMYFUNCTION("""COMPUTED_VALUE"""),"PAR")</f>
        <v>PAR</v>
      </c>
      <c r="B1435" s="195" t="str">
        <f ca="1">IFERROR(__xludf.DUMMYFUNCTION("""COMPUTED_VALUE"""),"Grace Burnett")</f>
        <v>Grace Burnett</v>
      </c>
      <c r="C1435" s="189">
        <f ca="1">IFERROR(__xludf.DUMMYFUNCTION("""COMPUTED_VALUE"""),9)</f>
        <v>9</v>
      </c>
      <c r="D1435" s="189" t="str">
        <f ca="1">IFERROR(__xludf.DUMMYFUNCTION("""COMPUTED_VALUE"""),"G")</f>
        <v>G</v>
      </c>
      <c r="E1435" s="189" t="str">
        <f ca="1">IFERROR(__xludf.DUMMYFUNCTION("""COMPUTED_VALUE"""),"F")</f>
        <v>F</v>
      </c>
      <c r="F1435" s="189" t="str">
        <f ca="1">IFERROR(__xludf.DUMMYFUNCTION("""COMPUTED_VALUE"""),"J")</f>
        <v>J</v>
      </c>
      <c r="G1435" s="189">
        <f ca="1">IFERROR(__xludf.DUMMYFUNCTION("""COMPUTED_VALUE"""),3)</f>
        <v>3</v>
      </c>
      <c r="H1435" s="196"/>
      <c r="I1435" s="196"/>
      <c r="J1435" s="196"/>
      <c r="K1435" s="196"/>
      <c r="L1435" s="196" t="str">
        <v/>
      </c>
      <c r="M1435" s="196"/>
    </row>
    <row r="1436" spans="1:13" ht="14.4" x14ac:dyDescent="0.3">
      <c r="A1436" s="189" t="str">
        <f ca="1">IFERROR(__xludf.DUMMYFUNCTION("""COMPUTED_VALUE"""),"PAR")</f>
        <v>PAR</v>
      </c>
      <c r="B1436" s="195" t="str">
        <f ca="1">IFERROR(__xludf.DUMMYFUNCTION("""COMPUTED_VALUE"""),"Hadley Miller")</f>
        <v>Hadley Miller</v>
      </c>
      <c r="C1436" s="189">
        <f ca="1">IFERROR(__xludf.DUMMYFUNCTION("""COMPUTED_VALUE"""),9)</f>
        <v>9</v>
      </c>
      <c r="D1436" s="189" t="str">
        <f ca="1">IFERROR(__xludf.DUMMYFUNCTION("""COMPUTED_VALUE"""),"G")</f>
        <v>G</v>
      </c>
      <c r="E1436" s="189" t="str">
        <f ca="1">IFERROR(__xludf.DUMMYFUNCTION("""COMPUTED_VALUE"""),"F")</f>
        <v>F</v>
      </c>
      <c r="F1436" s="189" t="str">
        <f ca="1">IFERROR(__xludf.DUMMYFUNCTION("""COMPUTED_VALUE"""),"J")</f>
        <v>J</v>
      </c>
      <c r="G1436" s="189">
        <f ca="1">IFERROR(__xludf.DUMMYFUNCTION("""COMPUTED_VALUE"""),3)</f>
        <v>3</v>
      </c>
      <c r="H1436" s="196" t="s">
        <v>607</v>
      </c>
      <c r="I1436" s="196"/>
      <c r="J1436" s="196" t="s">
        <v>29</v>
      </c>
      <c r="K1436" s="196"/>
      <c r="L1436" s="196" t="str">
        <v xml:space="preserve"> 54.45</v>
      </c>
      <c r="M1436" s="196"/>
    </row>
    <row r="1437" spans="1:13" ht="14.4" x14ac:dyDescent="0.3">
      <c r="A1437" s="189" t="str">
        <f ca="1">IFERROR(__xludf.DUMMYFUNCTION("""COMPUTED_VALUE"""),"PAR")</f>
        <v>PAR</v>
      </c>
      <c r="B1437" s="195" t="str">
        <f ca="1">IFERROR(__xludf.DUMMYFUNCTION("""COMPUTED_VALUE"""),"Hannah Waters")</f>
        <v>Hannah Waters</v>
      </c>
      <c r="C1437" s="189">
        <f ca="1">IFERROR(__xludf.DUMMYFUNCTION("""COMPUTED_VALUE"""),10)</f>
        <v>10</v>
      </c>
      <c r="D1437" s="189" t="str">
        <f ca="1">IFERROR(__xludf.DUMMYFUNCTION("""COMPUTED_VALUE"""),"G")</f>
        <v>G</v>
      </c>
      <c r="E1437" s="189" t="str">
        <f ca="1">IFERROR(__xludf.DUMMYFUNCTION("""COMPUTED_VALUE"""),"F")</f>
        <v>F</v>
      </c>
      <c r="F1437" s="189" t="str">
        <f ca="1">IFERROR(__xludf.DUMMYFUNCTION("""COMPUTED_VALUE"""),"J")</f>
        <v>J</v>
      </c>
      <c r="G1437" s="189">
        <f ca="1">IFERROR(__xludf.DUMMYFUNCTION("""COMPUTED_VALUE"""),3)</f>
        <v>3</v>
      </c>
      <c r="H1437" s="196" t="s">
        <v>492</v>
      </c>
      <c r="I1437" s="196"/>
      <c r="J1437" s="196" t="s">
        <v>29</v>
      </c>
      <c r="K1437" s="196"/>
      <c r="L1437" s="196" t="str">
        <v xml:space="preserve"> 50.20</v>
      </c>
      <c r="M1437" s="196"/>
    </row>
    <row r="1438" spans="1:13" ht="14.4" x14ac:dyDescent="0.3">
      <c r="A1438" s="189" t="str">
        <f ca="1">IFERROR(__xludf.DUMMYFUNCTION("""COMPUTED_VALUE"""),"PAR")</f>
        <v>PAR</v>
      </c>
      <c r="B1438" s="195" t="str">
        <f ca="1">IFERROR(__xludf.DUMMYFUNCTION("""COMPUTED_VALUE"""),"Josephine Wills")</f>
        <v>Josephine Wills</v>
      </c>
      <c r="C1438" s="189">
        <f ca="1">IFERROR(__xludf.DUMMYFUNCTION("""COMPUTED_VALUE"""),10)</f>
        <v>10</v>
      </c>
      <c r="D1438" s="189" t="str">
        <f ca="1">IFERROR(__xludf.DUMMYFUNCTION("""COMPUTED_VALUE"""),"G")</f>
        <v>G</v>
      </c>
      <c r="E1438" s="189" t="str">
        <f ca="1">IFERROR(__xludf.DUMMYFUNCTION("""COMPUTED_VALUE"""),"F")</f>
        <v>F</v>
      </c>
      <c r="F1438" s="189" t="str">
        <f ca="1">IFERROR(__xludf.DUMMYFUNCTION("""COMPUTED_VALUE"""),"J")</f>
        <v>J</v>
      </c>
      <c r="G1438" s="189">
        <f ca="1">IFERROR(__xludf.DUMMYFUNCTION("""COMPUTED_VALUE"""),3)</f>
        <v>3</v>
      </c>
      <c r="H1438" s="196" t="s">
        <v>608</v>
      </c>
      <c r="I1438" s="196"/>
      <c r="J1438" s="196" t="s">
        <v>29</v>
      </c>
      <c r="K1438" s="196"/>
      <c r="L1438" s="196" t="str">
        <v xml:space="preserve"> 63.40</v>
      </c>
      <c r="M1438" s="196"/>
    </row>
    <row r="1439" spans="1:13" ht="14.4" x14ac:dyDescent="0.3">
      <c r="A1439" s="189" t="str">
        <f ca="1">IFERROR(__xludf.DUMMYFUNCTION("""COMPUTED_VALUE"""),"PAR")</f>
        <v>PAR</v>
      </c>
      <c r="B1439" s="195" t="str">
        <f ca="1">IFERROR(__xludf.DUMMYFUNCTION("""COMPUTED_VALUE"""),"Kira Harrison")</f>
        <v>Kira Harrison</v>
      </c>
      <c r="C1439" s="189">
        <f ca="1">IFERROR(__xludf.DUMMYFUNCTION("""COMPUTED_VALUE"""),9)</f>
        <v>9</v>
      </c>
      <c r="D1439" s="189" t="str">
        <f ca="1">IFERROR(__xludf.DUMMYFUNCTION("""COMPUTED_VALUE"""),"G")</f>
        <v>G</v>
      </c>
      <c r="E1439" s="189" t="str">
        <f ca="1">IFERROR(__xludf.DUMMYFUNCTION("""COMPUTED_VALUE"""),"F")</f>
        <v>F</v>
      </c>
      <c r="F1439" s="189" t="str">
        <f ca="1">IFERROR(__xludf.DUMMYFUNCTION("""COMPUTED_VALUE"""),"J")</f>
        <v>J</v>
      </c>
      <c r="G1439" s="189">
        <f ca="1">IFERROR(__xludf.DUMMYFUNCTION("""COMPUTED_VALUE"""),3)</f>
        <v>3</v>
      </c>
      <c r="H1439" s="196"/>
      <c r="I1439" s="196"/>
      <c r="J1439" s="196"/>
      <c r="K1439" s="196"/>
      <c r="L1439" s="196" t="str">
        <v/>
      </c>
      <c r="M1439" s="196"/>
    </row>
    <row r="1440" spans="1:13" ht="14.4" x14ac:dyDescent="0.3">
      <c r="A1440" s="189" t="str">
        <f ca="1">IFERROR(__xludf.DUMMYFUNCTION("""COMPUTED_VALUE"""),"PAR")</f>
        <v>PAR</v>
      </c>
      <c r="B1440" s="195" t="str">
        <f ca="1">IFERROR(__xludf.DUMMYFUNCTION("""COMPUTED_VALUE"""),"Nilah Rotteveel")</f>
        <v>Nilah Rotteveel</v>
      </c>
      <c r="C1440" s="189">
        <f ca="1">IFERROR(__xludf.DUMMYFUNCTION("""COMPUTED_VALUE"""),6)</f>
        <v>6</v>
      </c>
      <c r="D1440" s="189" t="str">
        <f ca="1">IFERROR(__xludf.DUMMYFUNCTION("""COMPUTED_VALUE"""),"G")</f>
        <v>G</v>
      </c>
      <c r="E1440" s="189" t="str">
        <f ca="1">IFERROR(__xludf.DUMMYFUNCTION("""COMPUTED_VALUE"""),"F")</f>
        <v>F</v>
      </c>
      <c r="F1440" s="189" t="str">
        <f ca="1">IFERROR(__xludf.DUMMYFUNCTION("""COMPUTED_VALUE"""),"J")</f>
        <v>J</v>
      </c>
      <c r="G1440" s="189">
        <f ca="1">IFERROR(__xludf.DUMMYFUNCTION("""COMPUTED_VALUE"""),3)</f>
        <v>3</v>
      </c>
      <c r="H1440" s="196"/>
      <c r="I1440" s="196"/>
      <c r="J1440" s="196"/>
      <c r="K1440" s="196"/>
      <c r="L1440" s="196" t="str">
        <v/>
      </c>
      <c r="M1440" s="196"/>
    </row>
    <row r="1441" spans="1:13" ht="14.4" x14ac:dyDescent="0.3">
      <c r="A1441" s="189" t="str">
        <f ca="1">IFERROR(__xludf.DUMMYFUNCTION("""COMPUTED_VALUE"""),"PAR")</f>
        <v>PAR</v>
      </c>
      <c r="B1441" s="195" t="str">
        <f ca="1">IFERROR(__xludf.DUMMYFUNCTION("""COMPUTED_VALUE"""),"Sofia Stanley")</f>
        <v>Sofia Stanley</v>
      </c>
      <c r="C1441" s="189">
        <f ca="1">IFERROR(__xludf.DUMMYFUNCTION("""COMPUTED_VALUE"""),9)</f>
        <v>9</v>
      </c>
      <c r="D1441" s="189" t="str">
        <f ca="1">IFERROR(__xludf.DUMMYFUNCTION("""COMPUTED_VALUE"""),"G")</f>
        <v>G</v>
      </c>
      <c r="E1441" s="189" t="str">
        <f ca="1">IFERROR(__xludf.DUMMYFUNCTION("""COMPUTED_VALUE"""),"F")</f>
        <v>F</v>
      </c>
      <c r="F1441" s="189" t="str">
        <f ca="1">IFERROR(__xludf.DUMMYFUNCTION("""COMPUTED_VALUE"""),"J")</f>
        <v>J</v>
      </c>
      <c r="G1441" s="189">
        <f ca="1">IFERROR(__xludf.DUMMYFUNCTION("""COMPUTED_VALUE"""),3)</f>
        <v>3</v>
      </c>
      <c r="H1441" s="196" t="s">
        <v>609</v>
      </c>
      <c r="I1441" s="196"/>
      <c r="J1441" s="196" t="s">
        <v>29</v>
      </c>
      <c r="K1441" s="196"/>
      <c r="L1441" s="196" t="str">
        <v xml:space="preserve"> 42.55</v>
      </c>
      <c r="M1441" s="196"/>
    </row>
    <row r="1442" spans="1:13" ht="14.4" x14ac:dyDescent="0.3">
      <c r="A1442" s="189" t="str">
        <f ca="1">IFERROR(__xludf.DUMMYFUNCTION("""COMPUTED_VALUE"""),"PAR")</f>
        <v>PAR</v>
      </c>
      <c r="B1442" s="195" t="str">
        <f ca="1">IFERROR(__xludf.DUMMYFUNCTION("""COMPUTED_VALUE"""),"Chase Edwards")</f>
        <v>Chase Edwards</v>
      </c>
      <c r="C1442" s="189">
        <f ca="1">IFERROR(__xludf.DUMMYFUNCTION("""COMPUTED_VALUE"""),9)</f>
        <v>9</v>
      </c>
      <c r="D1442" s="189" t="str">
        <f ca="1">IFERROR(__xludf.DUMMYFUNCTION("""COMPUTED_VALUE"""),"B")</f>
        <v>B</v>
      </c>
      <c r="E1442" s="189" t="str">
        <f ca="1">IFERROR(__xludf.DUMMYFUNCTION("""COMPUTED_VALUE"""),"F")</f>
        <v>F</v>
      </c>
      <c r="F1442" s="189" t="str">
        <f ca="1">IFERROR(__xludf.DUMMYFUNCTION("""COMPUTED_VALUE"""),"J")</f>
        <v>J</v>
      </c>
      <c r="G1442" s="189">
        <f ca="1">IFERROR(__xludf.DUMMYFUNCTION("""COMPUTED_VALUE"""),3)</f>
        <v>3</v>
      </c>
      <c r="H1442" s="196"/>
      <c r="I1442" s="196"/>
      <c r="J1442" s="196"/>
      <c r="K1442" s="196"/>
      <c r="L1442" s="196" t="str">
        <v/>
      </c>
      <c r="M1442" s="196"/>
    </row>
    <row r="1443" spans="1:13" ht="14.4" x14ac:dyDescent="0.3">
      <c r="A1443" s="189" t="str">
        <f ca="1">IFERROR(__xludf.DUMMYFUNCTION("""COMPUTED_VALUE"""),"PAR")</f>
        <v>PAR</v>
      </c>
      <c r="B1443" s="195" t="str">
        <f ca="1">IFERROR(__xludf.DUMMYFUNCTION("""COMPUTED_VALUE"""),"Finn Klink")</f>
        <v>Finn Klink</v>
      </c>
      <c r="C1443" s="189">
        <f ca="1">IFERROR(__xludf.DUMMYFUNCTION("""COMPUTED_VALUE"""),9)</f>
        <v>9</v>
      </c>
      <c r="D1443" s="189" t="str">
        <f ca="1">IFERROR(__xludf.DUMMYFUNCTION("""COMPUTED_VALUE"""),"B")</f>
        <v>B</v>
      </c>
      <c r="E1443" s="189" t="str">
        <f ca="1">IFERROR(__xludf.DUMMYFUNCTION("""COMPUTED_VALUE"""),"F")</f>
        <v>F</v>
      </c>
      <c r="F1443" s="189" t="str">
        <f ca="1">IFERROR(__xludf.DUMMYFUNCTION("""COMPUTED_VALUE"""),"J")</f>
        <v>J</v>
      </c>
      <c r="G1443" s="189">
        <f ca="1">IFERROR(__xludf.DUMMYFUNCTION("""COMPUTED_VALUE"""),3)</f>
        <v>3</v>
      </c>
      <c r="H1443" s="196" t="s">
        <v>610</v>
      </c>
      <c r="I1443" s="196"/>
      <c r="J1443" s="196" t="s">
        <v>29</v>
      </c>
      <c r="K1443" s="196"/>
      <c r="L1443" s="196" t="str">
        <v xml:space="preserve"> 41.40</v>
      </c>
      <c r="M1443" s="196"/>
    </row>
    <row r="1444" spans="1:13" ht="14.4" x14ac:dyDescent="0.3">
      <c r="A1444" s="189" t="str">
        <f ca="1">IFERROR(__xludf.DUMMYFUNCTION("""COMPUTED_VALUE"""),"PAR")</f>
        <v>PAR</v>
      </c>
      <c r="B1444" s="195" t="str">
        <f ca="1">IFERROR(__xludf.DUMMYFUNCTION("""COMPUTED_VALUE"""),"Flynn Miller")</f>
        <v>Flynn Miller</v>
      </c>
      <c r="C1444" s="189">
        <f ca="1">IFERROR(__xludf.DUMMYFUNCTION("""COMPUTED_VALUE"""),10)</f>
        <v>10</v>
      </c>
      <c r="D1444" s="189" t="str">
        <f ca="1">IFERROR(__xludf.DUMMYFUNCTION("""COMPUTED_VALUE"""),"B")</f>
        <v>B</v>
      </c>
      <c r="E1444" s="189" t="str">
        <f ca="1">IFERROR(__xludf.DUMMYFUNCTION("""COMPUTED_VALUE"""),"F")</f>
        <v>F</v>
      </c>
      <c r="F1444" s="189" t="str">
        <f ca="1">IFERROR(__xludf.DUMMYFUNCTION("""COMPUTED_VALUE"""),"J")</f>
        <v>J</v>
      </c>
      <c r="G1444" s="189">
        <f ca="1">IFERROR(__xludf.DUMMYFUNCTION("""COMPUTED_VALUE"""),3)</f>
        <v>3</v>
      </c>
      <c r="H1444" s="196" t="s">
        <v>611</v>
      </c>
      <c r="I1444" s="196"/>
      <c r="J1444" s="196" t="s">
        <v>29</v>
      </c>
      <c r="K1444" s="196"/>
      <c r="L1444" s="196" t="str">
        <v xml:space="preserve"> 76.05</v>
      </c>
      <c r="M1444" s="196"/>
    </row>
    <row r="1445" spans="1:13" ht="14.4" x14ac:dyDescent="0.3">
      <c r="A1445" s="189" t="str">
        <f ca="1">IFERROR(__xludf.DUMMYFUNCTION("""COMPUTED_VALUE"""),"PAR")</f>
        <v>PAR</v>
      </c>
      <c r="B1445" s="195" t="str">
        <f ca="1">IFERROR(__xludf.DUMMYFUNCTION("""COMPUTED_VALUE"""),"Jacob Stanley")</f>
        <v>Jacob Stanley</v>
      </c>
      <c r="C1445" s="189">
        <f ca="1">IFERROR(__xludf.DUMMYFUNCTION("""COMPUTED_VALUE"""),10)</f>
        <v>10</v>
      </c>
      <c r="D1445" s="189" t="str">
        <f ca="1">IFERROR(__xludf.DUMMYFUNCTION("""COMPUTED_VALUE"""),"B")</f>
        <v>B</v>
      </c>
      <c r="E1445" s="189" t="str">
        <f ca="1">IFERROR(__xludf.DUMMYFUNCTION("""COMPUTED_VALUE"""),"F")</f>
        <v>F</v>
      </c>
      <c r="F1445" s="189" t="str">
        <f ca="1">IFERROR(__xludf.DUMMYFUNCTION("""COMPUTED_VALUE"""),"J")</f>
        <v>J</v>
      </c>
      <c r="G1445" s="189">
        <f ca="1">IFERROR(__xludf.DUMMYFUNCTION("""COMPUTED_VALUE"""),3)</f>
        <v>3</v>
      </c>
      <c r="H1445" s="196" t="s">
        <v>612</v>
      </c>
      <c r="I1445" s="196"/>
      <c r="J1445" s="196" t="s">
        <v>29</v>
      </c>
      <c r="K1445" s="196"/>
      <c r="L1445" s="196" t="str">
        <v xml:space="preserve"> 63.30</v>
      </c>
      <c r="M1445" s="196"/>
    </row>
    <row r="1446" spans="1:13" ht="14.4" x14ac:dyDescent="0.3">
      <c r="A1446" s="189" t="str">
        <f ca="1">IFERROR(__xludf.DUMMYFUNCTION("""COMPUTED_VALUE"""),"PAR")</f>
        <v>PAR</v>
      </c>
      <c r="B1446" s="195" t="str">
        <f ca="1">IFERROR(__xludf.DUMMYFUNCTION("""COMPUTED_VALUE"""),"Jamie Herrick")</f>
        <v>Jamie Herrick</v>
      </c>
      <c r="C1446" s="189">
        <f ca="1">IFERROR(__xludf.DUMMYFUNCTION("""COMPUTED_VALUE"""),7)</f>
        <v>7</v>
      </c>
      <c r="D1446" s="189" t="str">
        <f ca="1">IFERROR(__xludf.DUMMYFUNCTION("""COMPUTED_VALUE"""),"B")</f>
        <v>B</v>
      </c>
      <c r="E1446" s="189" t="str">
        <f ca="1">IFERROR(__xludf.DUMMYFUNCTION("""COMPUTED_VALUE"""),"F")</f>
        <v>F</v>
      </c>
      <c r="F1446" s="189" t="str">
        <f ca="1">IFERROR(__xludf.DUMMYFUNCTION("""COMPUTED_VALUE"""),"J")</f>
        <v>J</v>
      </c>
      <c r="G1446" s="189">
        <f ca="1">IFERROR(__xludf.DUMMYFUNCTION("""COMPUTED_VALUE"""),3)</f>
        <v>3</v>
      </c>
      <c r="H1446" s="196"/>
      <c r="I1446" s="196"/>
      <c r="J1446" s="196"/>
      <c r="K1446" s="196"/>
      <c r="L1446" s="196" t="str">
        <v/>
      </c>
      <c r="M1446" s="196"/>
    </row>
    <row r="1447" spans="1:13" ht="14.4" x14ac:dyDescent="0.3">
      <c r="A1447" s="189" t="str">
        <f ca="1">IFERROR(__xludf.DUMMYFUNCTION("""COMPUTED_VALUE"""),"PAR")</f>
        <v>PAR</v>
      </c>
      <c r="B1447" s="195" t="str">
        <f ca="1">IFERROR(__xludf.DUMMYFUNCTION("""COMPUTED_VALUE"""),"Joseph Anderson")</f>
        <v>Joseph Anderson</v>
      </c>
      <c r="C1447" s="189">
        <f ca="1">IFERROR(__xludf.DUMMYFUNCTION("""COMPUTED_VALUE"""),7)</f>
        <v>7</v>
      </c>
      <c r="D1447" s="189" t="str">
        <f ca="1">IFERROR(__xludf.DUMMYFUNCTION("""COMPUTED_VALUE"""),"B")</f>
        <v>B</v>
      </c>
      <c r="E1447" s="189" t="str">
        <f ca="1">IFERROR(__xludf.DUMMYFUNCTION("""COMPUTED_VALUE"""),"F")</f>
        <v>F</v>
      </c>
      <c r="F1447" s="189" t="str">
        <f ca="1">IFERROR(__xludf.DUMMYFUNCTION("""COMPUTED_VALUE"""),"J")</f>
        <v>J</v>
      </c>
      <c r="G1447" s="189">
        <f ca="1">IFERROR(__xludf.DUMMYFUNCTION("""COMPUTED_VALUE"""),3)</f>
        <v>3</v>
      </c>
      <c r="H1447" s="196"/>
      <c r="I1447" s="196"/>
      <c r="J1447" s="196"/>
      <c r="K1447" s="196"/>
      <c r="L1447" s="196" t="str">
        <v/>
      </c>
      <c r="M1447" s="196"/>
    </row>
    <row r="1448" spans="1:13" ht="14.4" x14ac:dyDescent="0.3">
      <c r="A1448" s="189" t="str">
        <f ca="1">IFERROR(__xludf.DUMMYFUNCTION("""COMPUTED_VALUE"""),"PAR")</f>
        <v>PAR</v>
      </c>
      <c r="B1448" s="195" t="str">
        <f ca="1">IFERROR(__xludf.DUMMYFUNCTION("""COMPUTED_VALUE"""),"Logan Varner")</f>
        <v>Logan Varner</v>
      </c>
      <c r="C1448" s="189">
        <f ca="1">IFERROR(__xludf.DUMMYFUNCTION("""COMPUTED_VALUE"""),7)</f>
        <v>7</v>
      </c>
      <c r="D1448" s="189" t="str">
        <f ca="1">IFERROR(__xludf.DUMMYFUNCTION("""COMPUTED_VALUE"""),"B")</f>
        <v>B</v>
      </c>
      <c r="E1448" s="189" t="str">
        <f ca="1">IFERROR(__xludf.DUMMYFUNCTION("""COMPUTED_VALUE"""),"F")</f>
        <v>F</v>
      </c>
      <c r="F1448" s="189" t="str">
        <f ca="1">IFERROR(__xludf.DUMMYFUNCTION("""COMPUTED_VALUE"""),"J")</f>
        <v>J</v>
      </c>
      <c r="G1448" s="189">
        <f ca="1">IFERROR(__xludf.DUMMYFUNCTION("""COMPUTED_VALUE"""),3)</f>
        <v>3</v>
      </c>
      <c r="H1448" s="196"/>
      <c r="I1448" s="196"/>
      <c r="J1448" s="196"/>
      <c r="K1448" s="196"/>
      <c r="L1448" s="196" t="str">
        <v/>
      </c>
      <c r="M1448" s="196"/>
    </row>
    <row r="1449" spans="1:13" ht="14.4" x14ac:dyDescent="0.3">
      <c r="A1449" s="189" t="str">
        <f ca="1">IFERROR(__xludf.DUMMYFUNCTION("""COMPUTED_VALUE"""),"PAR")</f>
        <v>PAR</v>
      </c>
      <c r="B1449" s="195" t="str">
        <f ca="1">IFERROR(__xludf.DUMMYFUNCTION("""COMPUTED_VALUE"""),"Mack Klink")</f>
        <v>Mack Klink</v>
      </c>
      <c r="C1449" s="189">
        <f ca="1">IFERROR(__xludf.DUMMYFUNCTION("""COMPUTED_VALUE"""),9)</f>
        <v>9</v>
      </c>
      <c r="D1449" s="189" t="str">
        <f ca="1">IFERROR(__xludf.DUMMYFUNCTION("""COMPUTED_VALUE"""),"B")</f>
        <v>B</v>
      </c>
      <c r="E1449" s="189" t="str">
        <f ca="1">IFERROR(__xludf.DUMMYFUNCTION("""COMPUTED_VALUE"""),"F")</f>
        <v>F</v>
      </c>
      <c r="F1449" s="189" t="str">
        <f ca="1">IFERROR(__xludf.DUMMYFUNCTION("""COMPUTED_VALUE"""),"J")</f>
        <v>J</v>
      </c>
      <c r="G1449" s="189">
        <f ca="1">IFERROR(__xludf.DUMMYFUNCTION("""COMPUTED_VALUE"""),3)</f>
        <v>3</v>
      </c>
      <c r="H1449" s="196" t="s">
        <v>367</v>
      </c>
      <c r="I1449" s="196"/>
      <c r="J1449" s="196" t="s">
        <v>29</v>
      </c>
      <c r="K1449" s="196"/>
      <c r="L1449" s="196" t="str">
        <v xml:space="preserve"> 52.85</v>
      </c>
      <c r="M1449" s="196"/>
    </row>
    <row r="1450" spans="1:13" ht="14.4" x14ac:dyDescent="0.3">
      <c r="A1450" s="189" t="str">
        <f ca="1">IFERROR(__xludf.DUMMYFUNCTION("""COMPUTED_VALUE"""),"PAR")</f>
        <v>PAR</v>
      </c>
      <c r="B1450" s="195" t="str">
        <f ca="1">IFERROR(__xludf.DUMMYFUNCTION("""COMPUTED_VALUE"""),"Michael Demas")</f>
        <v>Michael Demas</v>
      </c>
      <c r="C1450" s="189">
        <f ca="1">IFERROR(__xludf.DUMMYFUNCTION("""COMPUTED_VALUE"""),9)</f>
        <v>9</v>
      </c>
      <c r="D1450" s="189" t="str">
        <f ca="1">IFERROR(__xludf.DUMMYFUNCTION("""COMPUTED_VALUE"""),"B")</f>
        <v>B</v>
      </c>
      <c r="E1450" s="189" t="str">
        <f ca="1">IFERROR(__xludf.DUMMYFUNCTION("""COMPUTED_VALUE"""),"F")</f>
        <v>F</v>
      </c>
      <c r="F1450" s="189" t="str">
        <f ca="1">IFERROR(__xludf.DUMMYFUNCTION("""COMPUTED_VALUE"""),"J")</f>
        <v>J</v>
      </c>
      <c r="G1450" s="189">
        <f ca="1">IFERROR(__xludf.DUMMYFUNCTION("""COMPUTED_VALUE"""),3)</f>
        <v>3</v>
      </c>
      <c r="H1450" s="196"/>
      <c r="I1450" s="196"/>
      <c r="J1450" s="196"/>
      <c r="K1450" s="196"/>
      <c r="L1450" s="196" t="str">
        <v/>
      </c>
      <c r="M1450" s="196"/>
    </row>
    <row r="1451" spans="1:13" ht="14.4" x14ac:dyDescent="0.3">
      <c r="A1451" s="189" t="str">
        <f ca="1">IFERROR(__xludf.DUMMYFUNCTION("""COMPUTED_VALUE"""),"PAR")</f>
        <v>PAR</v>
      </c>
      <c r="B1451" s="195" t="str">
        <f ca="1">IFERROR(__xludf.DUMMYFUNCTION("""COMPUTED_VALUE"""),"Aubree Burnside")</f>
        <v>Aubree Burnside</v>
      </c>
      <c r="C1451" s="189">
        <f ca="1">IFERROR(__xludf.DUMMYFUNCTION("""COMPUTED_VALUE"""),13)</f>
        <v>13</v>
      </c>
      <c r="D1451" s="189" t="str">
        <f ca="1">IFERROR(__xludf.DUMMYFUNCTION("""COMPUTED_VALUE"""),"G")</f>
        <v>G</v>
      </c>
      <c r="E1451" s="189" t="str">
        <f ca="1">IFERROR(__xludf.DUMMYFUNCTION("""COMPUTED_VALUE"""),"I")</f>
        <v>I</v>
      </c>
      <c r="F1451" s="189" t="str">
        <f ca="1">IFERROR(__xludf.DUMMYFUNCTION("""COMPUTED_VALUE"""),"S")</f>
        <v>S</v>
      </c>
      <c r="G1451" s="189">
        <f ca="1">IFERROR(__xludf.DUMMYFUNCTION("""COMPUTED_VALUE"""),3)</f>
        <v>3</v>
      </c>
      <c r="H1451" s="196"/>
      <c r="I1451" s="196"/>
      <c r="J1451" s="196"/>
      <c r="K1451" s="196"/>
      <c r="L1451" s="196" t="str">
        <v/>
      </c>
      <c r="M1451" s="196"/>
    </row>
    <row r="1452" spans="1:13" ht="14.4" x14ac:dyDescent="0.3">
      <c r="A1452" s="189" t="str">
        <f ca="1">IFERROR(__xludf.DUMMYFUNCTION("""COMPUTED_VALUE"""),"PAR")</f>
        <v>PAR</v>
      </c>
      <c r="B1452" s="195" t="str">
        <f ca="1">IFERROR(__xludf.DUMMYFUNCTION("""COMPUTED_VALUE"""),"Madyson Chambley")</f>
        <v>Madyson Chambley</v>
      </c>
      <c r="C1452" s="189">
        <f ca="1">IFERROR(__xludf.DUMMYFUNCTION("""COMPUTED_VALUE"""),14)</f>
        <v>14</v>
      </c>
      <c r="D1452" s="189" t="str">
        <f ca="1">IFERROR(__xludf.DUMMYFUNCTION("""COMPUTED_VALUE"""),"G")</f>
        <v>G</v>
      </c>
      <c r="E1452" s="189" t="str">
        <f ca="1">IFERROR(__xludf.DUMMYFUNCTION("""COMPUTED_VALUE"""),"I")</f>
        <v>I</v>
      </c>
      <c r="F1452" s="189" t="str">
        <f ca="1">IFERROR(__xludf.DUMMYFUNCTION("""COMPUTED_VALUE"""),"S")</f>
        <v>S</v>
      </c>
      <c r="G1452" s="189">
        <f ca="1">IFERROR(__xludf.DUMMYFUNCTION("""COMPUTED_VALUE"""),3)</f>
        <v>3</v>
      </c>
      <c r="H1452" s="196" t="s">
        <v>613</v>
      </c>
      <c r="I1452" s="196"/>
      <c r="J1452" s="196" t="s">
        <v>29</v>
      </c>
      <c r="K1452" s="196"/>
      <c r="L1452" s="196" t="str">
        <v xml:space="preserve"> 109.55</v>
      </c>
      <c r="M1452" s="196"/>
    </row>
    <row r="1453" spans="1:13" ht="14.4" x14ac:dyDescent="0.3">
      <c r="A1453" s="189" t="str">
        <f ca="1">IFERROR(__xludf.DUMMYFUNCTION("""COMPUTED_VALUE"""),"PAR")</f>
        <v>PAR</v>
      </c>
      <c r="B1453" s="195" t="str">
        <f ca="1">IFERROR(__xludf.DUMMYFUNCTION("""COMPUTED_VALUE"""),"Sabrina Reilly")</f>
        <v>Sabrina Reilly</v>
      </c>
      <c r="C1453" s="189">
        <f ca="1">IFERROR(__xludf.DUMMYFUNCTION("""COMPUTED_VALUE"""),13)</f>
        <v>13</v>
      </c>
      <c r="D1453" s="189" t="str">
        <f ca="1">IFERROR(__xludf.DUMMYFUNCTION("""COMPUTED_VALUE"""),"G")</f>
        <v>G</v>
      </c>
      <c r="E1453" s="189" t="str">
        <f ca="1">IFERROR(__xludf.DUMMYFUNCTION("""COMPUTED_VALUE"""),"I")</f>
        <v>I</v>
      </c>
      <c r="F1453" s="189" t="str">
        <f ca="1">IFERROR(__xludf.DUMMYFUNCTION("""COMPUTED_VALUE"""),"S")</f>
        <v>S</v>
      </c>
      <c r="G1453" s="189">
        <f ca="1">IFERROR(__xludf.DUMMYFUNCTION("""COMPUTED_VALUE"""),3)</f>
        <v>3</v>
      </c>
      <c r="H1453" s="196"/>
      <c r="I1453" s="196"/>
      <c r="J1453" s="196"/>
      <c r="K1453" s="196"/>
      <c r="L1453" s="196" t="str">
        <v/>
      </c>
      <c r="M1453" s="196"/>
    </row>
    <row r="1454" spans="1:13" ht="14.4" x14ac:dyDescent="0.3">
      <c r="A1454" s="189" t="str">
        <f ca="1">IFERROR(__xludf.DUMMYFUNCTION("""COMPUTED_VALUE"""),"PAR")</f>
        <v>PAR</v>
      </c>
      <c r="B1454" s="195" t="str">
        <f ca="1">IFERROR(__xludf.DUMMYFUNCTION("""COMPUTED_VALUE"""),"Drew Avila")</f>
        <v>Drew Avila</v>
      </c>
      <c r="C1454" s="189">
        <f ca="1">IFERROR(__xludf.DUMMYFUNCTION("""COMPUTED_VALUE"""),13)</f>
        <v>13</v>
      </c>
      <c r="D1454" s="189" t="str">
        <f ca="1">IFERROR(__xludf.DUMMYFUNCTION("""COMPUTED_VALUE"""),"B")</f>
        <v>B</v>
      </c>
      <c r="E1454" s="189" t="str">
        <f ca="1">IFERROR(__xludf.DUMMYFUNCTION("""COMPUTED_VALUE"""),"I")</f>
        <v>I</v>
      </c>
      <c r="F1454" s="189" t="str">
        <f ca="1">IFERROR(__xludf.DUMMYFUNCTION("""COMPUTED_VALUE"""),"S")</f>
        <v>S</v>
      </c>
      <c r="G1454" s="189">
        <f ca="1">IFERROR(__xludf.DUMMYFUNCTION("""COMPUTED_VALUE"""),3)</f>
        <v>3</v>
      </c>
      <c r="H1454" s="196" t="s">
        <v>358</v>
      </c>
      <c r="I1454" s="196"/>
      <c r="J1454" s="196" t="s">
        <v>29</v>
      </c>
      <c r="K1454" s="196"/>
      <c r="L1454" s="196" t="str">
        <v xml:space="preserve"> 89.25</v>
      </c>
      <c r="M1454" s="196"/>
    </row>
    <row r="1455" spans="1:13" ht="14.4" x14ac:dyDescent="0.3">
      <c r="A1455" s="189" t="str">
        <f ca="1">IFERROR(__xludf.DUMMYFUNCTION("""COMPUTED_VALUE"""),"PAR")</f>
        <v>PAR</v>
      </c>
      <c r="B1455" s="195" t="str">
        <f ca="1">IFERROR(__xludf.DUMMYFUNCTION("""COMPUTED_VALUE"""),"Nolan Scott")</f>
        <v>Nolan Scott</v>
      </c>
      <c r="C1455" s="189">
        <f ca="1">IFERROR(__xludf.DUMMYFUNCTION("""COMPUTED_VALUE"""),13)</f>
        <v>13</v>
      </c>
      <c r="D1455" s="189" t="str">
        <f ca="1">IFERROR(__xludf.DUMMYFUNCTION("""COMPUTED_VALUE"""),"B")</f>
        <v>B</v>
      </c>
      <c r="E1455" s="189" t="str">
        <f ca="1">IFERROR(__xludf.DUMMYFUNCTION("""COMPUTED_VALUE"""),"I")</f>
        <v>I</v>
      </c>
      <c r="F1455" s="189" t="str">
        <f ca="1">IFERROR(__xludf.DUMMYFUNCTION("""COMPUTED_VALUE"""),"S")</f>
        <v>S</v>
      </c>
      <c r="G1455" s="189">
        <f ca="1">IFERROR(__xludf.DUMMYFUNCTION("""COMPUTED_VALUE"""),3)</f>
        <v>3</v>
      </c>
      <c r="H1455" s="196" t="s">
        <v>614</v>
      </c>
      <c r="I1455" s="196"/>
      <c r="J1455" s="196" t="s">
        <v>29</v>
      </c>
      <c r="K1455" s="196"/>
      <c r="L1455" s="196" t="str">
        <v xml:space="preserve"> 144.05</v>
      </c>
      <c r="M1455" s="196"/>
    </row>
    <row r="1456" spans="1:13" ht="14.4" x14ac:dyDescent="0.3">
      <c r="A1456" s="189" t="str">
        <f ca="1">IFERROR(__xludf.DUMMYFUNCTION("""COMPUTED_VALUE"""),"PAR")</f>
        <v>PAR</v>
      </c>
      <c r="B1456" s="195" t="str">
        <f ca="1">IFERROR(__xludf.DUMMYFUNCTION("""COMPUTED_VALUE"""),"Charlotte Rotteveel")</f>
        <v>Charlotte Rotteveel</v>
      </c>
      <c r="C1456" s="189">
        <f ca="1">IFERROR(__xludf.DUMMYFUNCTION("""COMPUTED_VALUE"""),11)</f>
        <v>11</v>
      </c>
      <c r="D1456" s="189" t="str">
        <f ca="1">IFERROR(__xludf.DUMMYFUNCTION("""COMPUTED_VALUE"""),"G")</f>
        <v>G</v>
      </c>
      <c r="E1456" s="189" t="str">
        <f ca="1">IFERROR(__xludf.DUMMYFUNCTION("""COMPUTED_VALUE"""),"J")</f>
        <v>J</v>
      </c>
      <c r="F1456" s="189" t="str">
        <f ca="1">IFERROR(__xludf.DUMMYFUNCTION("""COMPUTED_VALUE"""),"I")</f>
        <v>I</v>
      </c>
      <c r="G1456" s="189">
        <f ca="1">IFERROR(__xludf.DUMMYFUNCTION("""COMPUTED_VALUE"""),3)</f>
        <v>3</v>
      </c>
      <c r="H1456" s="196" t="s">
        <v>615</v>
      </c>
      <c r="I1456" s="196"/>
      <c r="J1456" s="196" t="s">
        <v>29</v>
      </c>
      <c r="K1456" s="196"/>
      <c r="L1456" s="196" t="str">
        <v xml:space="preserve"> 105.85</v>
      </c>
      <c r="M1456" s="196"/>
    </row>
    <row r="1457" spans="1:13" ht="14.4" x14ac:dyDescent="0.3">
      <c r="A1457" s="189" t="str">
        <f ca="1">IFERROR(__xludf.DUMMYFUNCTION("""COMPUTED_VALUE"""),"PAR")</f>
        <v>PAR</v>
      </c>
      <c r="B1457" s="195" t="str">
        <f ca="1">IFERROR(__xludf.DUMMYFUNCTION("""COMPUTED_VALUE"""),"Gabrielle Subasavage")</f>
        <v>Gabrielle Subasavage</v>
      </c>
      <c r="C1457" s="189">
        <f ca="1">IFERROR(__xludf.DUMMYFUNCTION("""COMPUTED_VALUE"""),12)</f>
        <v>12</v>
      </c>
      <c r="D1457" s="189" t="str">
        <f ca="1">IFERROR(__xludf.DUMMYFUNCTION("""COMPUTED_VALUE"""),"G")</f>
        <v>G</v>
      </c>
      <c r="E1457" s="189" t="str">
        <f ca="1">IFERROR(__xludf.DUMMYFUNCTION("""COMPUTED_VALUE"""),"J")</f>
        <v>J</v>
      </c>
      <c r="F1457" s="189" t="str">
        <f ca="1">IFERROR(__xludf.DUMMYFUNCTION("""COMPUTED_VALUE"""),"I")</f>
        <v>I</v>
      </c>
      <c r="G1457" s="189">
        <f ca="1">IFERROR(__xludf.DUMMYFUNCTION("""COMPUTED_VALUE"""),3)</f>
        <v>3</v>
      </c>
      <c r="H1457" s="196" t="s">
        <v>616</v>
      </c>
      <c r="I1457" s="196"/>
      <c r="J1457" s="196" t="s">
        <v>29</v>
      </c>
      <c r="K1457" s="196"/>
      <c r="L1457" s="196" t="str">
        <v xml:space="preserve"> 81.20</v>
      </c>
      <c r="M1457" s="196"/>
    </row>
    <row r="1458" spans="1:13" ht="14.4" x14ac:dyDescent="0.3">
      <c r="A1458" s="189" t="str">
        <f ca="1">IFERROR(__xludf.DUMMYFUNCTION("""COMPUTED_VALUE"""),"PAR")</f>
        <v>PAR</v>
      </c>
      <c r="B1458" s="195" t="str">
        <f ca="1">IFERROR(__xludf.DUMMYFUNCTION("""COMPUTED_VALUE"""),"Izzy Demas")</f>
        <v>Izzy Demas</v>
      </c>
      <c r="C1458" s="189">
        <f ca="1">IFERROR(__xludf.DUMMYFUNCTION("""COMPUTED_VALUE"""),12)</f>
        <v>12</v>
      </c>
      <c r="D1458" s="189" t="str">
        <f ca="1">IFERROR(__xludf.DUMMYFUNCTION("""COMPUTED_VALUE"""),"G")</f>
        <v>G</v>
      </c>
      <c r="E1458" s="189" t="str">
        <f ca="1">IFERROR(__xludf.DUMMYFUNCTION("""COMPUTED_VALUE"""),"J")</f>
        <v>J</v>
      </c>
      <c r="F1458" s="189" t="str">
        <f ca="1">IFERROR(__xludf.DUMMYFUNCTION("""COMPUTED_VALUE"""),"I")</f>
        <v>I</v>
      </c>
      <c r="G1458" s="189">
        <f ca="1">IFERROR(__xludf.DUMMYFUNCTION("""COMPUTED_VALUE"""),3)</f>
        <v>3</v>
      </c>
      <c r="H1458" s="196"/>
      <c r="I1458" s="196"/>
      <c r="J1458" s="196"/>
      <c r="K1458" s="196"/>
      <c r="L1458" s="196" t="str">
        <v/>
      </c>
      <c r="M1458" s="196"/>
    </row>
    <row r="1459" spans="1:13" ht="14.4" x14ac:dyDescent="0.3">
      <c r="A1459" s="189" t="str">
        <f ca="1">IFERROR(__xludf.DUMMYFUNCTION("""COMPUTED_VALUE"""),"PAR")</f>
        <v>PAR</v>
      </c>
      <c r="B1459" s="195" t="str">
        <f ca="1">IFERROR(__xludf.DUMMYFUNCTION("""COMPUTED_VALUE"""),"Marisa Torregroza")</f>
        <v>Marisa Torregroza</v>
      </c>
      <c r="C1459" s="189">
        <f ca="1">IFERROR(__xludf.DUMMYFUNCTION("""COMPUTED_VALUE"""),11)</f>
        <v>11</v>
      </c>
      <c r="D1459" s="189" t="str">
        <f ca="1">IFERROR(__xludf.DUMMYFUNCTION("""COMPUTED_VALUE"""),"G")</f>
        <v>G</v>
      </c>
      <c r="E1459" s="189" t="str">
        <f ca="1">IFERROR(__xludf.DUMMYFUNCTION("""COMPUTED_VALUE"""),"J")</f>
        <v>J</v>
      </c>
      <c r="F1459" s="189" t="str">
        <f ca="1">IFERROR(__xludf.DUMMYFUNCTION("""COMPUTED_VALUE"""),"I")</f>
        <v>I</v>
      </c>
      <c r="G1459" s="189">
        <f ca="1">IFERROR(__xludf.DUMMYFUNCTION("""COMPUTED_VALUE"""),3)</f>
        <v>3</v>
      </c>
      <c r="H1459" s="196" t="s">
        <v>617</v>
      </c>
      <c r="I1459" s="196"/>
      <c r="J1459" s="196" t="s">
        <v>29</v>
      </c>
      <c r="K1459" s="196"/>
      <c r="L1459" s="196" t="str">
        <v xml:space="preserve"> 68.75</v>
      </c>
      <c r="M1459" s="196"/>
    </row>
    <row r="1460" spans="1:13" ht="14.4" x14ac:dyDescent="0.3">
      <c r="A1460" s="189" t="str">
        <f ca="1">IFERROR(__xludf.DUMMYFUNCTION("""COMPUTED_VALUE"""),"PAR")</f>
        <v>PAR</v>
      </c>
      <c r="B1460" s="195" t="str">
        <f ca="1">IFERROR(__xludf.DUMMYFUNCTION("""COMPUTED_VALUE"""),"Tanisa Kanchanawanchai")</f>
        <v>Tanisa Kanchanawanchai</v>
      </c>
      <c r="C1460" s="189">
        <f ca="1">IFERROR(__xludf.DUMMYFUNCTION("""COMPUTED_VALUE"""),12)</f>
        <v>12</v>
      </c>
      <c r="D1460" s="189" t="str">
        <f ca="1">IFERROR(__xludf.DUMMYFUNCTION("""COMPUTED_VALUE"""),"G")</f>
        <v>G</v>
      </c>
      <c r="E1460" s="189" t="str">
        <f ca="1">IFERROR(__xludf.DUMMYFUNCTION("""COMPUTED_VALUE"""),"J")</f>
        <v>J</v>
      </c>
      <c r="F1460" s="189" t="str">
        <f ca="1">IFERROR(__xludf.DUMMYFUNCTION("""COMPUTED_VALUE"""),"I")</f>
        <v>I</v>
      </c>
      <c r="G1460" s="189">
        <f ca="1">IFERROR(__xludf.DUMMYFUNCTION("""COMPUTED_VALUE"""),3)</f>
        <v>3</v>
      </c>
      <c r="H1460" s="196" t="s">
        <v>618</v>
      </c>
      <c r="I1460" s="196"/>
      <c r="J1460" s="196" t="s">
        <v>29</v>
      </c>
      <c r="K1460" s="196"/>
      <c r="L1460" s="196" t="str">
        <v xml:space="preserve"> 59.25</v>
      </c>
      <c r="M1460" s="196"/>
    </row>
    <row r="1461" spans="1:13" ht="14.4" x14ac:dyDescent="0.3">
      <c r="A1461" s="189" t="str">
        <f ca="1">IFERROR(__xludf.DUMMYFUNCTION("""COMPUTED_VALUE"""),"PAR")</f>
        <v>PAR</v>
      </c>
      <c r="B1461" s="195" t="str">
        <f ca="1">IFERROR(__xludf.DUMMYFUNCTION("""COMPUTED_VALUE"""),"Elliot Brooks")</f>
        <v>Elliot Brooks</v>
      </c>
      <c r="C1461" s="189">
        <f ca="1">IFERROR(__xludf.DUMMYFUNCTION("""COMPUTED_VALUE"""),11)</f>
        <v>11</v>
      </c>
      <c r="D1461" s="189" t="str">
        <f ca="1">IFERROR(__xludf.DUMMYFUNCTION("""COMPUTED_VALUE"""),"B")</f>
        <v>B</v>
      </c>
      <c r="E1461" s="189" t="str">
        <f ca="1">IFERROR(__xludf.DUMMYFUNCTION("""COMPUTED_VALUE"""),"J")</f>
        <v>J</v>
      </c>
      <c r="F1461" s="189" t="str">
        <f ca="1">IFERROR(__xludf.DUMMYFUNCTION("""COMPUTED_VALUE"""),"I")</f>
        <v>I</v>
      </c>
      <c r="G1461" s="189">
        <f ca="1">IFERROR(__xludf.DUMMYFUNCTION("""COMPUTED_VALUE"""),3)</f>
        <v>3</v>
      </c>
      <c r="H1461" s="196" t="s">
        <v>619</v>
      </c>
      <c r="I1461" s="196"/>
      <c r="J1461" s="196" t="s">
        <v>29</v>
      </c>
      <c r="K1461" s="196"/>
      <c r="L1461" s="196" t="str">
        <v xml:space="preserve"> 69.45</v>
      </c>
      <c r="M1461" s="196"/>
    </row>
    <row r="1462" spans="1:13" ht="14.4" x14ac:dyDescent="0.3">
      <c r="A1462" s="189" t="str">
        <f ca="1">IFERROR(__xludf.DUMMYFUNCTION("""COMPUTED_VALUE"""),"PAR")</f>
        <v>PAR</v>
      </c>
      <c r="B1462" s="195" t="str">
        <f ca="1">IFERROR(__xludf.DUMMYFUNCTION("""COMPUTED_VALUE"""),"Liam Ezekiel")</f>
        <v>Liam Ezekiel</v>
      </c>
      <c r="C1462" s="189">
        <f ca="1">IFERROR(__xludf.DUMMYFUNCTION("""COMPUTED_VALUE"""),12)</f>
        <v>12</v>
      </c>
      <c r="D1462" s="189" t="str">
        <f ca="1">IFERROR(__xludf.DUMMYFUNCTION("""COMPUTED_VALUE"""),"B")</f>
        <v>B</v>
      </c>
      <c r="E1462" s="189" t="str">
        <f ca="1">IFERROR(__xludf.DUMMYFUNCTION("""COMPUTED_VALUE"""),"J")</f>
        <v>J</v>
      </c>
      <c r="F1462" s="189" t="str">
        <f ca="1">IFERROR(__xludf.DUMMYFUNCTION("""COMPUTED_VALUE"""),"I")</f>
        <v>I</v>
      </c>
      <c r="G1462" s="189">
        <f ca="1">IFERROR(__xludf.DUMMYFUNCTION("""COMPUTED_VALUE"""),3)</f>
        <v>3</v>
      </c>
      <c r="H1462" s="196"/>
      <c r="I1462" s="196"/>
      <c r="J1462" s="196"/>
      <c r="K1462" s="196"/>
      <c r="L1462" s="196" t="str">
        <v/>
      </c>
      <c r="M1462" s="196"/>
    </row>
    <row r="1463" spans="1:13" ht="14.4" x14ac:dyDescent="0.3">
      <c r="A1463" s="189" t="str">
        <f ca="1">IFERROR(__xludf.DUMMYFUNCTION("""COMPUTED_VALUE"""),"PAR")</f>
        <v>PAR</v>
      </c>
      <c r="B1463" s="195" t="str">
        <f ca="1">IFERROR(__xludf.DUMMYFUNCTION("""COMPUTED_VALUE"""),"Liam Tavares")</f>
        <v>Liam Tavares</v>
      </c>
      <c r="C1463" s="189">
        <f ca="1">IFERROR(__xludf.DUMMYFUNCTION("""COMPUTED_VALUE"""),11)</f>
        <v>11</v>
      </c>
      <c r="D1463" s="189" t="str">
        <f ca="1">IFERROR(__xludf.DUMMYFUNCTION("""COMPUTED_VALUE"""),"B")</f>
        <v>B</v>
      </c>
      <c r="E1463" s="189" t="str">
        <f ca="1">IFERROR(__xludf.DUMMYFUNCTION("""COMPUTED_VALUE"""),"J")</f>
        <v>J</v>
      </c>
      <c r="F1463" s="189" t="str">
        <f ca="1">IFERROR(__xludf.DUMMYFUNCTION("""COMPUTED_VALUE"""),"I")</f>
        <v>I</v>
      </c>
      <c r="G1463" s="189">
        <f ca="1">IFERROR(__xludf.DUMMYFUNCTION("""COMPUTED_VALUE"""),3)</f>
        <v>3</v>
      </c>
      <c r="H1463" s="196"/>
      <c r="I1463" s="196"/>
      <c r="J1463" s="196"/>
      <c r="K1463" s="196"/>
      <c r="L1463" s="196" t="str">
        <v/>
      </c>
      <c r="M1463" s="196"/>
    </row>
    <row r="1464" spans="1:13" ht="14.4" x14ac:dyDescent="0.3">
      <c r="A1464" s="189" t="str">
        <f ca="1">IFERROR(__xludf.DUMMYFUNCTION("""COMPUTED_VALUE"""),"PAR")</f>
        <v>PAR</v>
      </c>
      <c r="B1464" s="195" t="str">
        <f ca="1">IFERROR(__xludf.DUMMYFUNCTION("""COMPUTED_VALUE"""),"Daniel Cate")</f>
        <v>Daniel Cate</v>
      </c>
      <c r="C1464" s="189">
        <f ca="1">IFERROR(__xludf.DUMMYFUNCTION("""COMPUTED_VALUE"""),18)</f>
        <v>18</v>
      </c>
      <c r="D1464" s="189" t="str">
        <f ca="1">IFERROR(__xludf.DUMMYFUNCTION("""COMPUTED_VALUE"""),"B")</f>
        <v>B</v>
      </c>
      <c r="E1464" s="189" t="str">
        <f ca="1">IFERROR(__xludf.DUMMYFUNCTION("""COMPUTED_VALUE"""),"S")</f>
        <v>S</v>
      </c>
      <c r="F1464" s="189" t="str">
        <f ca="1">IFERROR(__xludf.DUMMYFUNCTION("""COMPUTED_VALUE"""),"S")</f>
        <v>S</v>
      </c>
      <c r="G1464" s="189">
        <f ca="1">IFERROR(__xludf.DUMMYFUNCTION("""COMPUTED_VALUE"""),3)</f>
        <v>3</v>
      </c>
      <c r="H1464" s="196" t="s">
        <v>620</v>
      </c>
      <c r="I1464" s="196"/>
      <c r="J1464" s="196" t="s">
        <v>29</v>
      </c>
      <c r="K1464" s="196"/>
      <c r="L1464" s="196" t="str">
        <v xml:space="preserve"> 151.10</v>
      </c>
      <c r="M1464" s="196"/>
    </row>
    <row r="1465" spans="1:13" ht="14.4" x14ac:dyDescent="0.3">
      <c r="A1465" s="189" t="str">
        <f ca="1">IFERROR(__xludf.DUMMYFUNCTION("""COMPUTED_VALUE"""),"PAR")</f>
        <v>PAR</v>
      </c>
      <c r="B1465" s="195" t="str">
        <f ca="1">IFERROR(__xludf.DUMMYFUNCTION("""COMPUTED_VALUE"""),"Evan Vink")</f>
        <v>Evan Vink</v>
      </c>
      <c r="C1465" s="189">
        <f ca="1">IFERROR(__xludf.DUMMYFUNCTION("""COMPUTED_VALUE"""),16)</f>
        <v>16</v>
      </c>
      <c r="D1465" s="189" t="str">
        <f ca="1">IFERROR(__xludf.DUMMYFUNCTION("""COMPUTED_VALUE"""),"B")</f>
        <v>B</v>
      </c>
      <c r="E1465" s="189" t="str">
        <f ca="1">IFERROR(__xludf.DUMMYFUNCTION("""COMPUTED_VALUE"""),"S")</f>
        <v>S</v>
      </c>
      <c r="F1465" s="189" t="str">
        <f ca="1">IFERROR(__xludf.DUMMYFUNCTION("""COMPUTED_VALUE"""),"S")</f>
        <v>S</v>
      </c>
      <c r="G1465" s="189">
        <f ca="1">IFERROR(__xludf.DUMMYFUNCTION("""COMPUTED_VALUE"""),3)</f>
        <v>3</v>
      </c>
      <c r="H1465" s="196" t="s">
        <v>621</v>
      </c>
      <c r="I1465" s="196"/>
      <c r="J1465" s="196" t="s">
        <v>29</v>
      </c>
      <c r="K1465" s="196"/>
      <c r="L1465" s="196" t="str">
        <v xml:space="preserve"> 181.25</v>
      </c>
      <c r="M1465" s="196"/>
    </row>
    <row r="1466" spans="1:13" ht="14.4" x14ac:dyDescent="0.3">
      <c r="A1466" s="189" t="str">
        <f ca="1">IFERROR(__xludf.DUMMYFUNCTION("""COMPUTED_VALUE"""),"PAR")</f>
        <v>PAR</v>
      </c>
      <c r="B1466" s="195" t="str">
        <f ca="1">IFERROR(__xludf.DUMMYFUNCTION("""COMPUTED_VALUE"""),"Jacob Couchman")</f>
        <v>Jacob Couchman</v>
      </c>
      <c r="C1466" s="189">
        <f ca="1">IFERROR(__xludf.DUMMYFUNCTION("""COMPUTED_VALUE"""),15)</f>
        <v>15</v>
      </c>
      <c r="D1466" s="189" t="str">
        <f ca="1">IFERROR(__xludf.DUMMYFUNCTION("""COMPUTED_VALUE"""),"B")</f>
        <v>B</v>
      </c>
      <c r="E1466" s="189" t="str">
        <f ca="1">IFERROR(__xludf.DUMMYFUNCTION("""COMPUTED_VALUE"""),"S")</f>
        <v>S</v>
      </c>
      <c r="F1466" s="189" t="str">
        <f ca="1">IFERROR(__xludf.DUMMYFUNCTION("""COMPUTED_VALUE"""),"S")</f>
        <v>S</v>
      </c>
      <c r="G1466" s="189">
        <f ca="1">IFERROR(__xludf.DUMMYFUNCTION("""COMPUTED_VALUE"""),3)</f>
        <v>3</v>
      </c>
      <c r="H1466" s="196" t="s">
        <v>622</v>
      </c>
      <c r="I1466" s="196"/>
      <c r="J1466" s="196" t="s">
        <v>29</v>
      </c>
      <c r="K1466" s="196"/>
      <c r="L1466" s="196" t="str">
        <v xml:space="preserve"> 169.70</v>
      </c>
      <c r="M1466" s="196"/>
    </row>
    <row r="1467" spans="1:13" ht="14.4" x14ac:dyDescent="0.3">
      <c r="A1467" s="189" t="str">
        <f ca="1">IFERROR(__xludf.DUMMYFUNCTION("""COMPUTED_VALUE"""),"PC")</f>
        <v>PC</v>
      </c>
      <c r="B1467" s="195" t="str">
        <f ca="1">IFERROR(__xludf.DUMMYFUNCTION("""COMPUTED_VALUE"""),"Chloe Kennedy")</f>
        <v>Chloe Kennedy</v>
      </c>
      <c r="C1467" s="189">
        <f ca="1">IFERROR(__xludf.DUMMYFUNCTION("""COMPUTED_VALUE"""),10)</f>
        <v>10</v>
      </c>
      <c r="D1467" s="189" t="str">
        <f ca="1">IFERROR(__xludf.DUMMYFUNCTION("""COMPUTED_VALUE"""),"G")</f>
        <v>G</v>
      </c>
      <c r="E1467" s="189" t="str">
        <f ca="1">IFERROR(__xludf.DUMMYFUNCTION("""COMPUTED_VALUE"""),"F")</f>
        <v>F</v>
      </c>
      <c r="F1467" s="189" t="str">
        <f ca="1">IFERROR(__xludf.DUMMYFUNCTION("""COMPUTED_VALUE"""),"J")</f>
        <v>J</v>
      </c>
      <c r="G1467" s="189">
        <f ca="1">IFERROR(__xludf.DUMMYFUNCTION("""COMPUTED_VALUE"""),8)</f>
        <v>8</v>
      </c>
      <c r="H1467" s="196"/>
      <c r="I1467" s="196"/>
      <c r="J1467" s="196"/>
      <c r="K1467" s="196"/>
      <c r="L1467" s="196" t="str">
        <v/>
      </c>
      <c r="M1467" s="196"/>
    </row>
    <row r="1468" spans="1:13" ht="14.4" x14ac:dyDescent="0.3">
      <c r="A1468" s="189" t="str">
        <f ca="1">IFERROR(__xludf.DUMMYFUNCTION("""COMPUTED_VALUE"""),"PC")</f>
        <v>PC</v>
      </c>
      <c r="B1468" s="195" t="str">
        <f ca="1">IFERROR(__xludf.DUMMYFUNCTION("""COMPUTED_VALUE"""),"Daphne Holler")</f>
        <v>Daphne Holler</v>
      </c>
      <c r="C1468" s="189">
        <f ca="1">IFERROR(__xludf.DUMMYFUNCTION("""COMPUTED_VALUE"""),10)</f>
        <v>10</v>
      </c>
      <c r="D1468" s="189" t="str">
        <f ca="1">IFERROR(__xludf.DUMMYFUNCTION("""COMPUTED_VALUE"""),"G")</f>
        <v>G</v>
      </c>
      <c r="E1468" s="189" t="str">
        <f ca="1">IFERROR(__xludf.DUMMYFUNCTION("""COMPUTED_VALUE"""),"F")</f>
        <v>F</v>
      </c>
      <c r="F1468" s="189" t="str">
        <f ca="1">IFERROR(__xludf.DUMMYFUNCTION("""COMPUTED_VALUE"""),"J")</f>
        <v>J</v>
      </c>
      <c r="G1468" s="189">
        <f ca="1">IFERROR(__xludf.DUMMYFUNCTION("""COMPUTED_VALUE"""),8)</f>
        <v>8</v>
      </c>
      <c r="H1468" s="196" t="s">
        <v>117</v>
      </c>
      <c r="I1468" s="196"/>
      <c r="J1468" s="196" t="s">
        <v>29</v>
      </c>
      <c r="K1468" s="196"/>
      <c r="L1468" s="196" t="str">
        <v xml:space="preserve"> 59.65</v>
      </c>
      <c r="M1468" s="196"/>
    </row>
    <row r="1469" spans="1:13" ht="14.4" x14ac:dyDescent="0.3">
      <c r="A1469" s="189" t="str">
        <f ca="1">IFERROR(__xludf.DUMMYFUNCTION("""COMPUTED_VALUE"""),"PC")</f>
        <v>PC</v>
      </c>
      <c r="B1469" s="195" t="str">
        <f ca="1">IFERROR(__xludf.DUMMYFUNCTION("""COMPUTED_VALUE"""),"Erin Edwards")</f>
        <v>Erin Edwards</v>
      </c>
      <c r="C1469" s="189">
        <f ca="1">IFERROR(__xludf.DUMMYFUNCTION("""COMPUTED_VALUE"""),10)</f>
        <v>10</v>
      </c>
      <c r="D1469" s="189" t="str">
        <f ca="1">IFERROR(__xludf.DUMMYFUNCTION("""COMPUTED_VALUE"""),"G")</f>
        <v>G</v>
      </c>
      <c r="E1469" s="189" t="str">
        <f ca="1">IFERROR(__xludf.DUMMYFUNCTION("""COMPUTED_VALUE"""),"F")</f>
        <v>F</v>
      </c>
      <c r="F1469" s="189" t="str">
        <f ca="1">IFERROR(__xludf.DUMMYFUNCTION("""COMPUTED_VALUE"""),"J")</f>
        <v>J</v>
      </c>
      <c r="G1469" s="189">
        <f ca="1">IFERROR(__xludf.DUMMYFUNCTION("""COMPUTED_VALUE"""),8)</f>
        <v>8</v>
      </c>
      <c r="H1469" s="196" t="s">
        <v>458</v>
      </c>
      <c r="I1469" s="196"/>
      <c r="J1469" s="196" t="s">
        <v>29</v>
      </c>
      <c r="K1469" s="196"/>
      <c r="L1469" s="196" t="str">
        <v xml:space="preserve"> 70.55</v>
      </c>
      <c r="M1469" s="196"/>
    </row>
    <row r="1470" spans="1:13" ht="14.4" x14ac:dyDescent="0.3">
      <c r="A1470" s="189" t="str">
        <f ca="1">IFERROR(__xludf.DUMMYFUNCTION("""COMPUTED_VALUE"""),"PC")</f>
        <v>PC</v>
      </c>
      <c r="B1470" s="195" t="str">
        <f ca="1">IFERROR(__xludf.DUMMYFUNCTION("""COMPUTED_VALUE"""),"Liani Kopek")</f>
        <v>Liani Kopek</v>
      </c>
      <c r="C1470" s="189">
        <f ca="1">IFERROR(__xludf.DUMMYFUNCTION("""COMPUTED_VALUE"""),8)</f>
        <v>8</v>
      </c>
      <c r="D1470" s="189" t="str">
        <f ca="1">IFERROR(__xludf.DUMMYFUNCTION("""COMPUTED_VALUE"""),"G")</f>
        <v>G</v>
      </c>
      <c r="E1470" s="189" t="str">
        <f ca="1">IFERROR(__xludf.DUMMYFUNCTION("""COMPUTED_VALUE"""),"F")</f>
        <v>F</v>
      </c>
      <c r="F1470" s="189" t="str">
        <f ca="1">IFERROR(__xludf.DUMMYFUNCTION("""COMPUTED_VALUE"""),"J")</f>
        <v>J</v>
      </c>
      <c r="G1470" s="189">
        <f ca="1">IFERROR(__xludf.DUMMYFUNCTION("""COMPUTED_VALUE"""),8)</f>
        <v>8</v>
      </c>
      <c r="H1470" s="196" t="s">
        <v>623</v>
      </c>
      <c r="I1470" s="196"/>
      <c r="J1470" s="196" t="s">
        <v>29</v>
      </c>
      <c r="K1470" s="196"/>
      <c r="L1470" s="196" t="str">
        <v xml:space="preserve"> 55.50</v>
      </c>
      <c r="M1470" s="196"/>
    </row>
    <row r="1471" spans="1:13" ht="14.4" x14ac:dyDescent="0.3">
      <c r="A1471" s="189" t="str">
        <f ca="1">IFERROR(__xludf.DUMMYFUNCTION("""COMPUTED_VALUE"""),"PC")</f>
        <v>PC</v>
      </c>
      <c r="B1471" s="195" t="str">
        <f ca="1">IFERROR(__xludf.DUMMYFUNCTION("""COMPUTED_VALUE"""),"Nora Kalfus")</f>
        <v>Nora Kalfus</v>
      </c>
      <c r="C1471" s="189">
        <f ca="1">IFERROR(__xludf.DUMMYFUNCTION("""COMPUTED_VALUE"""),7)</f>
        <v>7</v>
      </c>
      <c r="D1471" s="189" t="str">
        <f ca="1">IFERROR(__xludf.DUMMYFUNCTION("""COMPUTED_VALUE"""),"G")</f>
        <v>G</v>
      </c>
      <c r="E1471" s="189" t="str">
        <f ca="1">IFERROR(__xludf.DUMMYFUNCTION("""COMPUTED_VALUE"""),"F")</f>
        <v>F</v>
      </c>
      <c r="F1471" s="189" t="str">
        <f ca="1">IFERROR(__xludf.DUMMYFUNCTION("""COMPUTED_VALUE"""),"J")</f>
        <v>J</v>
      </c>
      <c r="G1471" s="189">
        <f ca="1">IFERROR(__xludf.DUMMYFUNCTION("""COMPUTED_VALUE"""),8)</f>
        <v>8</v>
      </c>
      <c r="H1471" s="196"/>
      <c r="I1471" s="196"/>
      <c r="J1471" s="196"/>
      <c r="K1471" s="196"/>
      <c r="L1471" s="196" t="str">
        <v/>
      </c>
      <c r="M1471" s="196"/>
    </row>
    <row r="1472" spans="1:13" ht="14.4" x14ac:dyDescent="0.3">
      <c r="A1472" s="189" t="str">
        <f ca="1">IFERROR(__xludf.DUMMYFUNCTION("""COMPUTED_VALUE"""),"PC")</f>
        <v>PC</v>
      </c>
      <c r="B1472" s="195" t="str">
        <f ca="1">IFERROR(__xludf.DUMMYFUNCTION("""COMPUTED_VALUE"""),"Pranitha Reddy Vempalli")</f>
        <v>Pranitha Reddy Vempalli</v>
      </c>
      <c r="C1472" s="189">
        <f ca="1">IFERROR(__xludf.DUMMYFUNCTION("""COMPUTED_VALUE"""),6)</f>
        <v>6</v>
      </c>
      <c r="D1472" s="189" t="str">
        <f ca="1">IFERROR(__xludf.DUMMYFUNCTION("""COMPUTED_VALUE"""),"G")</f>
        <v>G</v>
      </c>
      <c r="E1472" s="189" t="str">
        <f ca="1">IFERROR(__xludf.DUMMYFUNCTION("""COMPUTED_VALUE"""),"F")</f>
        <v>F</v>
      </c>
      <c r="F1472" s="189" t="str">
        <f ca="1">IFERROR(__xludf.DUMMYFUNCTION("""COMPUTED_VALUE"""),"J")</f>
        <v>J</v>
      </c>
      <c r="G1472" s="189">
        <f ca="1">IFERROR(__xludf.DUMMYFUNCTION("""COMPUTED_VALUE"""),8)</f>
        <v>8</v>
      </c>
      <c r="H1472" s="196"/>
      <c r="I1472" s="196"/>
      <c r="J1472" s="196"/>
      <c r="K1472" s="196"/>
      <c r="L1472" s="196" t="str">
        <v/>
      </c>
      <c r="M1472" s="196"/>
    </row>
    <row r="1473" spans="1:13" ht="14.4" x14ac:dyDescent="0.3">
      <c r="A1473" s="189" t="str">
        <f ca="1">IFERROR(__xludf.DUMMYFUNCTION("""COMPUTED_VALUE"""),"PC")</f>
        <v>PC</v>
      </c>
      <c r="B1473" s="195" t="str">
        <f ca="1">IFERROR(__xludf.DUMMYFUNCTION("""COMPUTED_VALUE"""),"Ryan Frazitta")</f>
        <v>Ryan Frazitta</v>
      </c>
      <c r="C1473" s="189">
        <f ca="1">IFERROR(__xludf.DUMMYFUNCTION("""COMPUTED_VALUE"""),9)</f>
        <v>9</v>
      </c>
      <c r="D1473" s="189" t="str">
        <f ca="1">IFERROR(__xludf.DUMMYFUNCTION("""COMPUTED_VALUE"""),"G")</f>
        <v>G</v>
      </c>
      <c r="E1473" s="189" t="str">
        <f ca="1">IFERROR(__xludf.DUMMYFUNCTION("""COMPUTED_VALUE"""),"F")</f>
        <v>F</v>
      </c>
      <c r="F1473" s="189" t="str">
        <f ca="1">IFERROR(__xludf.DUMMYFUNCTION("""COMPUTED_VALUE"""),"J")</f>
        <v>J</v>
      </c>
      <c r="G1473" s="189">
        <f ca="1">IFERROR(__xludf.DUMMYFUNCTION("""COMPUTED_VALUE"""),8)</f>
        <v>8</v>
      </c>
      <c r="H1473" s="196"/>
      <c r="I1473" s="196"/>
      <c r="J1473" s="196"/>
      <c r="K1473" s="196"/>
      <c r="L1473" s="196" t="str">
        <v/>
      </c>
      <c r="M1473" s="196"/>
    </row>
    <row r="1474" spans="1:13" ht="14.4" x14ac:dyDescent="0.3">
      <c r="A1474" s="189" t="str">
        <f ca="1">IFERROR(__xludf.DUMMYFUNCTION("""COMPUTED_VALUE"""),"PC")</f>
        <v>PC</v>
      </c>
      <c r="B1474" s="195" t="str">
        <f ca="1">IFERROR(__xludf.DUMMYFUNCTION("""COMPUTED_VALUE"""),"Sia Ferssizidis")</f>
        <v>Sia Ferssizidis</v>
      </c>
      <c r="C1474" s="189">
        <f ca="1">IFERROR(__xludf.DUMMYFUNCTION("""COMPUTED_VALUE"""),8)</f>
        <v>8</v>
      </c>
      <c r="D1474" s="189" t="str">
        <f ca="1">IFERROR(__xludf.DUMMYFUNCTION("""COMPUTED_VALUE"""),"G")</f>
        <v>G</v>
      </c>
      <c r="E1474" s="189" t="str">
        <f ca="1">IFERROR(__xludf.DUMMYFUNCTION("""COMPUTED_VALUE"""),"F")</f>
        <v>F</v>
      </c>
      <c r="F1474" s="189" t="str">
        <f ca="1">IFERROR(__xludf.DUMMYFUNCTION("""COMPUTED_VALUE"""),"J")</f>
        <v>J</v>
      </c>
      <c r="G1474" s="189">
        <f ca="1">IFERROR(__xludf.DUMMYFUNCTION("""COMPUTED_VALUE"""),8)</f>
        <v>8</v>
      </c>
      <c r="H1474" s="196"/>
      <c r="I1474" s="196"/>
      <c r="J1474" s="196"/>
      <c r="K1474" s="196"/>
      <c r="L1474" s="196" t="str">
        <v/>
      </c>
      <c r="M1474" s="196"/>
    </row>
    <row r="1475" spans="1:13" ht="14.4" x14ac:dyDescent="0.3">
      <c r="A1475" s="189" t="str">
        <f ca="1">IFERROR(__xludf.DUMMYFUNCTION("""COMPUTED_VALUE"""),"PC")</f>
        <v>PC</v>
      </c>
      <c r="B1475" s="195" t="str">
        <f ca="1">IFERROR(__xludf.DUMMYFUNCTION("""COMPUTED_VALUE"""),"Alex Ferssizidis")</f>
        <v>Alex Ferssizidis</v>
      </c>
      <c r="C1475" s="189">
        <f ca="1">IFERROR(__xludf.DUMMYFUNCTION("""COMPUTED_VALUE"""),6)</f>
        <v>6</v>
      </c>
      <c r="D1475" s="189" t="str">
        <f ca="1">IFERROR(__xludf.DUMMYFUNCTION("""COMPUTED_VALUE"""),"B")</f>
        <v>B</v>
      </c>
      <c r="E1475" s="189" t="str">
        <f ca="1">IFERROR(__xludf.DUMMYFUNCTION("""COMPUTED_VALUE"""),"F")</f>
        <v>F</v>
      </c>
      <c r="F1475" s="189" t="str">
        <f ca="1">IFERROR(__xludf.DUMMYFUNCTION("""COMPUTED_VALUE"""),"J")</f>
        <v>J</v>
      </c>
      <c r="G1475" s="189">
        <f ca="1">IFERROR(__xludf.DUMMYFUNCTION("""COMPUTED_VALUE"""),8)</f>
        <v>8</v>
      </c>
      <c r="H1475" s="196" t="s">
        <v>624</v>
      </c>
      <c r="I1475" s="196"/>
      <c r="J1475" s="196" t="s">
        <v>29</v>
      </c>
      <c r="K1475" s="196"/>
      <c r="L1475" s="196" t="str">
        <v xml:space="preserve"> 12.25</v>
      </c>
      <c r="M1475" s="196"/>
    </row>
    <row r="1476" spans="1:13" ht="14.4" x14ac:dyDescent="0.3">
      <c r="A1476" s="189" t="str">
        <f ca="1">IFERROR(__xludf.DUMMYFUNCTION("""COMPUTED_VALUE"""),"PC")</f>
        <v>PC</v>
      </c>
      <c r="B1476" s="195" t="str">
        <f ca="1">IFERROR(__xludf.DUMMYFUNCTION("""COMPUTED_VALUE"""),"Bobby Ferssizidis")</f>
        <v>Bobby Ferssizidis</v>
      </c>
      <c r="C1476" s="189">
        <f ca="1">IFERROR(__xludf.DUMMYFUNCTION("""COMPUTED_VALUE"""),10)</f>
        <v>10</v>
      </c>
      <c r="D1476" s="189" t="str">
        <f ca="1">IFERROR(__xludf.DUMMYFUNCTION("""COMPUTED_VALUE"""),"B")</f>
        <v>B</v>
      </c>
      <c r="E1476" s="189" t="str">
        <f ca="1">IFERROR(__xludf.DUMMYFUNCTION("""COMPUTED_VALUE"""),"F")</f>
        <v>F</v>
      </c>
      <c r="F1476" s="189" t="str">
        <f ca="1">IFERROR(__xludf.DUMMYFUNCTION("""COMPUTED_VALUE"""),"J")</f>
        <v>J</v>
      </c>
      <c r="G1476" s="189">
        <f ca="1">IFERROR(__xludf.DUMMYFUNCTION("""COMPUTED_VALUE"""),8)</f>
        <v>8</v>
      </c>
      <c r="H1476" s="196" t="s">
        <v>625</v>
      </c>
      <c r="I1476" s="196"/>
      <c r="J1476" s="196" t="s">
        <v>29</v>
      </c>
      <c r="K1476" s="196"/>
      <c r="L1476" s="196" t="str">
        <v xml:space="preserve"> 50.80</v>
      </c>
      <c r="M1476" s="196"/>
    </row>
    <row r="1477" spans="1:13" ht="14.4" x14ac:dyDescent="0.3">
      <c r="A1477" s="189" t="str">
        <f ca="1">IFERROR(__xludf.DUMMYFUNCTION("""COMPUTED_VALUE"""),"PC")</f>
        <v>PC</v>
      </c>
      <c r="B1477" s="195" t="str">
        <f ca="1">IFERROR(__xludf.DUMMYFUNCTION("""COMPUTED_VALUE"""),"Charith Reddy Vempalli")</f>
        <v>Charith Reddy Vempalli</v>
      </c>
      <c r="C1477" s="189">
        <f ca="1">IFERROR(__xludf.DUMMYFUNCTION("""COMPUTED_VALUE"""),9)</f>
        <v>9</v>
      </c>
      <c r="D1477" s="189" t="str">
        <f ca="1">IFERROR(__xludf.DUMMYFUNCTION("""COMPUTED_VALUE"""),"B")</f>
        <v>B</v>
      </c>
      <c r="E1477" s="189" t="str">
        <f ca="1">IFERROR(__xludf.DUMMYFUNCTION("""COMPUTED_VALUE"""),"F")</f>
        <v>F</v>
      </c>
      <c r="F1477" s="189" t="str">
        <f ca="1">IFERROR(__xludf.DUMMYFUNCTION("""COMPUTED_VALUE"""),"J")</f>
        <v>J</v>
      </c>
      <c r="G1477" s="189">
        <f ca="1">IFERROR(__xludf.DUMMYFUNCTION("""COMPUTED_VALUE"""),8)</f>
        <v>8</v>
      </c>
      <c r="H1477" s="196" t="s">
        <v>626</v>
      </c>
      <c r="I1477" s="196"/>
      <c r="J1477" s="196" t="s">
        <v>29</v>
      </c>
      <c r="K1477" s="196"/>
      <c r="L1477" s="196" t="str">
        <v xml:space="preserve"> 41.95</v>
      </c>
      <c r="M1477" s="196"/>
    </row>
    <row r="1478" spans="1:13" ht="14.4" x14ac:dyDescent="0.3">
      <c r="A1478" s="189" t="str">
        <f ca="1">IFERROR(__xludf.DUMMYFUNCTION("""COMPUTED_VALUE"""),"PC")</f>
        <v>PC</v>
      </c>
      <c r="B1478" s="195" t="str">
        <f ca="1">IFERROR(__xludf.DUMMYFUNCTION("""COMPUTED_VALUE"""),"Joseph Shlesinger")</f>
        <v>Joseph Shlesinger</v>
      </c>
      <c r="C1478" s="189">
        <f ca="1">IFERROR(__xludf.DUMMYFUNCTION("""COMPUTED_VALUE"""),9)</f>
        <v>9</v>
      </c>
      <c r="D1478" s="189" t="str">
        <f ca="1">IFERROR(__xludf.DUMMYFUNCTION("""COMPUTED_VALUE"""),"B")</f>
        <v>B</v>
      </c>
      <c r="E1478" s="189" t="str">
        <f ca="1">IFERROR(__xludf.DUMMYFUNCTION("""COMPUTED_VALUE"""),"F")</f>
        <v>F</v>
      </c>
      <c r="F1478" s="189" t="str">
        <f ca="1">IFERROR(__xludf.DUMMYFUNCTION("""COMPUTED_VALUE"""),"J")</f>
        <v>J</v>
      </c>
      <c r="G1478" s="189">
        <f ca="1">IFERROR(__xludf.DUMMYFUNCTION("""COMPUTED_VALUE"""),8)</f>
        <v>8</v>
      </c>
      <c r="H1478" s="196"/>
      <c r="I1478" s="196"/>
      <c r="J1478" s="196"/>
      <c r="K1478" s="196"/>
      <c r="L1478" s="196" t="str">
        <v/>
      </c>
      <c r="M1478" s="196"/>
    </row>
    <row r="1479" spans="1:13" ht="14.4" x14ac:dyDescent="0.3">
      <c r="A1479" s="189" t="str">
        <f ca="1">IFERROR(__xludf.DUMMYFUNCTION("""COMPUTED_VALUE"""),"PC")</f>
        <v>PC</v>
      </c>
      <c r="B1479" s="195" t="str">
        <f ca="1">IFERROR(__xludf.DUMMYFUNCTION("""COMPUTED_VALUE"""),"Ryan Kalfus")</f>
        <v>Ryan Kalfus</v>
      </c>
      <c r="C1479" s="189">
        <f ca="1">IFERROR(__xludf.DUMMYFUNCTION("""COMPUTED_VALUE"""),10)</f>
        <v>10</v>
      </c>
      <c r="D1479" s="189" t="str">
        <f ca="1">IFERROR(__xludf.DUMMYFUNCTION("""COMPUTED_VALUE"""),"B")</f>
        <v>B</v>
      </c>
      <c r="E1479" s="189" t="str">
        <f ca="1">IFERROR(__xludf.DUMMYFUNCTION("""COMPUTED_VALUE"""),"F")</f>
        <v>F</v>
      </c>
      <c r="F1479" s="189" t="str">
        <f ca="1">IFERROR(__xludf.DUMMYFUNCTION("""COMPUTED_VALUE"""),"J")</f>
        <v>J</v>
      </c>
      <c r="G1479" s="189">
        <f ca="1">IFERROR(__xludf.DUMMYFUNCTION("""COMPUTED_VALUE"""),8)</f>
        <v>8</v>
      </c>
      <c r="H1479" s="196" t="s">
        <v>627</v>
      </c>
      <c r="I1479" s="196"/>
      <c r="J1479" s="196" t="s">
        <v>29</v>
      </c>
      <c r="K1479" s="196"/>
      <c r="L1479" s="196" t="str">
        <v xml:space="preserve"> 43.75</v>
      </c>
      <c r="M1479" s="196"/>
    </row>
    <row r="1480" spans="1:13" ht="14.4" x14ac:dyDescent="0.3">
      <c r="A1480" s="189" t="str">
        <f ca="1">IFERROR(__xludf.DUMMYFUNCTION("""COMPUTED_VALUE"""),"PC")</f>
        <v>PC</v>
      </c>
      <c r="B1480" s="195" t="str">
        <f ca="1">IFERROR(__xludf.DUMMYFUNCTION("""COMPUTED_VALUE"""),"Timothy Barger")</f>
        <v>Timothy Barger</v>
      </c>
      <c r="C1480" s="189">
        <f ca="1">IFERROR(__xludf.DUMMYFUNCTION("""COMPUTED_VALUE"""),10)</f>
        <v>10</v>
      </c>
      <c r="D1480" s="189" t="str">
        <f ca="1">IFERROR(__xludf.DUMMYFUNCTION("""COMPUTED_VALUE"""),"B")</f>
        <v>B</v>
      </c>
      <c r="E1480" s="189" t="str">
        <f ca="1">IFERROR(__xludf.DUMMYFUNCTION("""COMPUTED_VALUE"""),"F")</f>
        <v>F</v>
      </c>
      <c r="F1480" s="189" t="str">
        <f ca="1">IFERROR(__xludf.DUMMYFUNCTION("""COMPUTED_VALUE"""),"J")</f>
        <v>J</v>
      </c>
      <c r="G1480" s="189">
        <f ca="1">IFERROR(__xludf.DUMMYFUNCTION("""COMPUTED_VALUE"""),8)</f>
        <v>8</v>
      </c>
      <c r="H1480" s="196" t="s">
        <v>628</v>
      </c>
      <c r="I1480" s="196"/>
      <c r="J1480" s="196" t="s">
        <v>29</v>
      </c>
      <c r="K1480" s="196"/>
      <c r="L1480" s="196" t="str">
        <v xml:space="preserve"> 55.15</v>
      </c>
      <c r="M1480" s="196"/>
    </row>
    <row r="1481" spans="1:13" ht="14.4" x14ac:dyDescent="0.3">
      <c r="A1481" s="189" t="str">
        <f ca="1">IFERROR(__xludf.DUMMYFUNCTION("""COMPUTED_VALUE"""),"PC")</f>
        <v>PC</v>
      </c>
      <c r="B1481" s="195" t="str">
        <f ca="1">IFERROR(__xludf.DUMMYFUNCTION("""COMPUTED_VALUE"""),"Vaibhav Boini")</f>
        <v>Vaibhav Boini</v>
      </c>
      <c r="C1481" s="189">
        <f ca="1">IFERROR(__xludf.DUMMYFUNCTION("""COMPUTED_VALUE"""),10)</f>
        <v>10</v>
      </c>
      <c r="D1481" s="189" t="str">
        <f ca="1">IFERROR(__xludf.DUMMYFUNCTION("""COMPUTED_VALUE"""),"B")</f>
        <v>B</v>
      </c>
      <c r="E1481" s="189" t="str">
        <f ca="1">IFERROR(__xludf.DUMMYFUNCTION("""COMPUTED_VALUE"""),"F")</f>
        <v>F</v>
      </c>
      <c r="F1481" s="189" t="str">
        <f ca="1">IFERROR(__xludf.DUMMYFUNCTION("""COMPUTED_VALUE"""),"J")</f>
        <v>J</v>
      </c>
      <c r="G1481" s="189">
        <f ca="1">IFERROR(__xludf.DUMMYFUNCTION("""COMPUTED_VALUE"""),8)</f>
        <v>8</v>
      </c>
      <c r="H1481" s="196"/>
      <c r="I1481" s="196"/>
      <c r="J1481" s="196"/>
      <c r="K1481" s="196"/>
      <c r="L1481" s="196" t="str">
        <v/>
      </c>
      <c r="M1481" s="196"/>
    </row>
    <row r="1482" spans="1:13" ht="14.4" x14ac:dyDescent="0.3">
      <c r="A1482" s="189" t="str">
        <f ca="1">IFERROR(__xludf.DUMMYFUNCTION("""COMPUTED_VALUE"""),"PC")</f>
        <v>PC</v>
      </c>
      <c r="B1482" s="195" t="str">
        <f ca="1">IFERROR(__xludf.DUMMYFUNCTION("""COMPUTED_VALUE"""),"Wesley Nayer")</f>
        <v>Wesley Nayer</v>
      </c>
      <c r="C1482" s="189">
        <f ca="1">IFERROR(__xludf.DUMMYFUNCTION("""COMPUTED_VALUE"""),9)</f>
        <v>9</v>
      </c>
      <c r="D1482" s="189" t="str">
        <f ca="1">IFERROR(__xludf.DUMMYFUNCTION("""COMPUTED_VALUE"""),"B")</f>
        <v>B</v>
      </c>
      <c r="E1482" s="189" t="str">
        <f ca="1">IFERROR(__xludf.DUMMYFUNCTION("""COMPUTED_VALUE"""),"F")</f>
        <v>F</v>
      </c>
      <c r="F1482" s="189" t="str">
        <f ca="1">IFERROR(__xludf.DUMMYFUNCTION("""COMPUTED_VALUE"""),"J")</f>
        <v>J</v>
      </c>
      <c r="G1482" s="189">
        <f ca="1">IFERROR(__xludf.DUMMYFUNCTION("""COMPUTED_VALUE"""),8)</f>
        <v>8</v>
      </c>
      <c r="H1482" s="196"/>
      <c r="I1482" s="196"/>
      <c r="J1482" s="196"/>
      <c r="K1482" s="196"/>
      <c r="L1482" s="196" t="str">
        <v/>
      </c>
      <c r="M1482" s="196"/>
    </row>
    <row r="1483" spans="1:13" ht="14.4" x14ac:dyDescent="0.3">
      <c r="A1483" s="189" t="str">
        <f ca="1">IFERROR(__xludf.DUMMYFUNCTION("""COMPUTED_VALUE"""),"PC")</f>
        <v>PC</v>
      </c>
      <c r="B1483" s="195" t="str">
        <f ca="1">IFERROR(__xludf.DUMMYFUNCTION("""COMPUTED_VALUE"""),"Gia Yappel")</f>
        <v>Gia Yappel</v>
      </c>
      <c r="C1483" s="189">
        <f ca="1">IFERROR(__xludf.DUMMYFUNCTION("""COMPUTED_VALUE"""),14)</f>
        <v>14</v>
      </c>
      <c r="D1483" s="189" t="str">
        <f ca="1">IFERROR(__xludf.DUMMYFUNCTION("""COMPUTED_VALUE"""),"G")</f>
        <v>G</v>
      </c>
      <c r="E1483" s="189" t="str">
        <f ca="1">IFERROR(__xludf.DUMMYFUNCTION("""COMPUTED_VALUE"""),"I")</f>
        <v>I</v>
      </c>
      <c r="F1483" s="189" t="str">
        <f ca="1">IFERROR(__xludf.DUMMYFUNCTION("""COMPUTED_VALUE"""),"S")</f>
        <v>S</v>
      </c>
      <c r="G1483" s="189">
        <f ca="1">IFERROR(__xludf.DUMMYFUNCTION("""COMPUTED_VALUE"""),8)</f>
        <v>8</v>
      </c>
      <c r="H1483" s="196" t="s">
        <v>629</v>
      </c>
      <c r="I1483" s="196"/>
      <c r="J1483" s="196" t="s">
        <v>29</v>
      </c>
      <c r="K1483" s="196"/>
      <c r="L1483" s="196" t="str">
        <v xml:space="preserve"> 94.30</v>
      </c>
      <c r="M1483" s="196"/>
    </row>
    <row r="1484" spans="1:13" ht="14.4" x14ac:dyDescent="0.3">
      <c r="A1484" s="189" t="str">
        <f ca="1">IFERROR(__xludf.DUMMYFUNCTION("""COMPUTED_VALUE"""),"PC")</f>
        <v>PC</v>
      </c>
      <c r="B1484" s="195" t="str">
        <f ca="1">IFERROR(__xludf.DUMMYFUNCTION("""COMPUTED_VALUE"""),"Leandra Barger")</f>
        <v>Leandra Barger</v>
      </c>
      <c r="C1484" s="189">
        <f ca="1">IFERROR(__xludf.DUMMYFUNCTION("""COMPUTED_VALUE"""),13)</f>
        <v>13</v>
      </c>
      <c r="D1484" s="189" t="str">
        <f ca="1">IFERROR(__xludf.DUMMYFUNCTION("""COMPUTED_VALUE"""),"G")</f>
        <v>G</v>
      </c>
      <c r="E1484" s="189" t="str">
        <f ca="1">IFERROR(__xludf.DUMMYFUNCTION("""COMPUTED_VALUE"""),"I")</f>
        <v>I</v>
      </c>
      <c r="F1484" s="189" t="str">
        <f ca="1">IFERROR(__xludf.DUMMYFUNCTION("""COMPUTED_VALUE"""),"S")</f>
        <v>S</v>
      </c>
      <c r="G1484" s="189">
        <f ca="1">IFERROR(__xludf.DUMMYFUNCTION("""COMPUTED_VALUE"""),8)</f>
        <v>8</v>
      </c>
      <c r="H1484" s="196" t="s">
        <v>188</v>
      </c>
      <c r="I1484" s="196"/>
      <c r="J1484" s="196" t="s">
        <v>29</v>
      </c>
      <c r="K1484" s="196"/>
      <c r="L1484" s="196" t="str">
        <v xml:space="preserve"> 105.40</v>
      </c>
      <c r="M1484" s="196"/>
    </row>
    <row r="1485" spans="1:13" ht="14.4" x14ac:dyDescent="0.3">
      <c r="A1485" s="189" t="str">
        <f ca="1">IFERROR(__xludf.DUMMYFUNCTION("""COMPUTED_VALUE"""),"PC")</f>
        <v>PC</v>
      </c>
      <c r="B1485" s="195" t="str">
        <f ca="1">IFERROR(__xludf.DUMMYFUNCTION("""COMPUTED_VALUE"""),"Riya Boini")</f>
        <v>Riya Boini</v>
      </c>
      <c r="C1485" s="189">
        <f ca="1">IFERROR(__xludf.DUMMYFUNCTION("""COMPUTED_VALUE"""),13)</f>
        <v>13</v>
      </c>
      <c r="D1485" s="189" t="str">
        <f ca="1">IFERROR(__xludf.DUMMYFUNCTION("""COMPUTED_VALUE"""),"G")</f>
        <v>G</v>
      </c>
      <c r="E1485" s="189" t="str">
        <f ca="1">IFERROR(__xludf.DUMMYFUNCTION("""COMPUTED_VALUE"""),"I")</f>
        <v>I</v>
      </c>
      <c r="F1485" s="189" t="str">
        <f ca="1">IFERROR(__xludf.DUMMYFUNCTION("""COMPUTED_VALUE"""),"S")</f>
        <v>S</v>
      </c>
      <c r="G1485" s="189">
        <f ca="1">IFERROR(__xludf.DUMMYFUNCTION("""COMPUTED_VALUE"""),8)</f>
        <v>8</v>
      </c>
      <c r="H1485" s="196"/>
      <c r="I1485" s="196"/>
      <c r="J1485" s="196"/>
      <c r="K1485" s="196"/>
      <c r="L1485" s="196" t="str">
        <v/>
      </c>
      <c r="M1485" s="196"/>
    </row>
    <row r="1486" spans="1:13" ht="14.4" x14ac:dyDescent="0.3">
      <c r="A1486" s="189" t="str">
        <f ca="1">IFERROR(__xludf.DUMMYFUNCTION("""COMPUTED_VALUE"""),"PC")</f>
        <v>PC</v>
      </c>
      <c r="B1486" s="195" t="str">
        <f ca="1">IFERROR(__xludf.DUMMYFUNCTION("""COMPUTED_VALUE"""),"Connor Ryan")</f>
        <v>Connor Ryan</v>
      </c>
      <c r="C1486" s="189">
        <f ca="1">IFERROR(__xludf.DUMMYFUNCTION("""COMPUTED_VALUE"""),14)</f>
        <v>14</v>
      </c>
      <c r="D1486" s="189" t="str">
        <f ca="1">IFERROR(__xludf.DUMMYFUNCTION("""COMPUTED_VALUE"""),"B")</f>
        <v>B</v>
      </c>
      <c r="E1486" s="189" t="str">
        <f ca="1">IFERROR(__xludf.DUMMYFUNCTION("""COMPUTED_VALUE"""),"I")</f>
        <v>I</v>
      </c>
      <c r="F1486" s="189" t="str">
        <f ca="1">IFERROR(__xludf.DUMMYFUNCTION("""COMPUTED_VALUE"""),"S")</f>
        <v>S</v>
      </c>
      <c r="G1486" s="189">
        <f ca="1">IFERROR(__xludf.DUMMYFUNCTION("""COMPUTED_VALUE"""),8)</f>
        <v>8</v>
      </c>
      <c r="H1486" s="196"/>
      <c r="I1486" s="196"/>
      <c r="J1486" s="196"/>
      <c r="K1486" s="196"/>
      <c r="L1486" s="196" t="str">
        <v/>
      </c>
      <c r="M1486" s="196"/>
    </row>
    <row r="1487" spans="1:13" ht="14.4" x14ac:dyDescent="0.3">
      <c r="A1487" s="189" t="str">
        <f ca="1">IFERROR(__xludf.DUMMYFUNCTION("""COMPUTED_VALUE"""),"PC")</f>
        <v>PC</v>
      </c>
      <c r="B1487" s="195" t="str">
        <f ca="1">IFERROR(__xludf.DUMMYFUNCTION("""COMPUTED_VALUE"""),"Anabelle Chan")</f>
        <v>Anabelle Chan</v>
      </c>
      <c r="C1487" s="189">
        <f ca="1">IFERROR(__xludf.DUMMYFUNCTION("""COMPUTED_VALUE"""),11)</f>
        <v>11</v>
      </c>
      <c r="D1487" s="189" t="str">
        <f ca="1">IFERROR(__xludf.DUMMYFUNCTION("""COMPUTED_VALUE"""),"G")</f>
        <v>G</v>
      </c>
      <c r="E1487" s="189" t="str">
        <f ca="1">IFERROR(__xludf.DUMMYFUNCTION("""COMPUTED_VALUE"""),"J")</f>
        <v>J</v>
      </c>
      <c r="F1487" s="189" t="str">
        <f ca="1">IFERROR(__xludf.DUMMYFUNCTION("""COMPUTED_VALUE"""),"I")</f>
        <v>I</v>
      </c>
      <c r="G1487" s="189">
        <f ca="1">IFERROR(__xludf.DUMMYFUNCTION("""COMPUTED_VALUE"""),8)</f>
        <v>8</v>
      </c>
      <c r="H1487" s="196"/>
      <c r="I1487" s="196"/>
      <c r="J1487" s="196"/>
      <c r="K1487" s="196"/>
      <c r="L1487" s="196" t="str">
        <v/>
      </c>
      <c r="M1487" s="196"/>
    </row>
    <row r="1488" spans="1:13" ht="14.4" x14ac:dyDescent="0.3">
      <c r="A1488" s="189" t="str">
        <f ca="1">IFERROR(__xludf.DUMMYFUNCTION("""COMPUTED_VALUE"""),"PC")</f>
        <v>PC</v>
      </c>
      <c r="B1488" s="195" t="str">
        <f ca="1">IFERROR(__xludf.DUMMYFUNCTION("""COMPUTED_VALUE"""),"Anna Walsh")</f>
        <v>Anna Walsh</v>
      </c>
      <c r="C1488" s="189">
        <f ca="1">IFERROR(__xludf.DUMMYFUNCTION("""COMPUTED_VALUE"""),12)</f>
        <v>12</v>
      </c>
      <c r="D1488" s="189" t="str">
        <f ca="1">IFERROR(__xludf.DUMMYFUNCTION("""COMPUTED_VALUE"""),"G")</f>
        <v>G</v>
      </c>
      <c r="E1488" s="189" t="str">
        <f ca="1">IFERROR(__xludf.DUMMYFUNCTION("""COMPUTED_VALUE"""),"J")</f>
        <v>J</v>
      </c>
      <c r="F1488" s="189" t="str">
        <f ca="1">IFERROR(__xludf.DUMMYFUNCTION("""COMPUTED_VALUE"""),"I")</f>
        <v>I</v>
      </c>
      <c r="G1488" s="189">
        <f ca="1">IFERROR(__xludf.DUMMYFUNCTION("""COMPUTED_VALUE"""),8)</f>
        <v>8</v>
      </c>
      <c r="H1488" s="196"/>
      <c r="I1488" s="196"/>
      <c r="J1488" s="196"/>
      <c r="K1488" s="196"/>
      <c r="L1488" s="196" t="str">
        <v/>
      </c>
      <c r="M1488" s="196"/>
    </row>
    <row r="1489" spans="1:13" ht="14.4" x14ac:dyDescent="0.3">
      <c r="A1489" s="189" t="str">
        <f ca="1">IFERROR(__xludf.DUMMYFUNCTION("""COMPUTED_VALUE"""),"PC")</f>
        <v>PC</v>
      </c>
      <c r="B1489" s="195" t="str">
        <f ca="1">IFERROR(__xludf.DUMMYFUNCTION("""COMPUTED_VALUE"""),"Caris Allen")</f>
        <v>Caris Allen</v>
      </c>
      <c r="C1489" s="189">
        <f ca="1">IFERROR(__xludf.DUMMYFUNCTION("""COMPUTED_VALUE"""),11)</f>
        <v>11</v>
      </c>
      <c r="D1489" s="189" t="str">
        <f ca="1">IFERROR(__xludf.DUMMYFUNCTION("""COMPUTED_VALUE"""),"G")</f>
        <v>G</v>
      </c>
      <c r="E1489" s="189" t="str">
        <f ca="1">IFERROR(__xludf.DUMMYFUNCTION("""COMPUTED_VALUE"""),"J")</f>
        <v>J</v>
      </c>
      <c r="F1489" s="189" t="str">
        <f ca="1">IFERROR(__xludf.DUMMYFUNCTION("""COMPUTED_VALUE"""),"I")</f>
        <v>I</v>
      </c>
      <c r="G1489" s="189">
        <f ca="1">IFERROR(__xludf.DUMMYFUNCTION("""COMPUTED_VALUE"""),8)</f>
        <v>8</v>
      </c>
      <c r="H1489" s="196"/>
      <c r="I1489" s="196"/>
      <c r="J1489" s="196"/>
      <c r="K1489" s="196"/>
      <c r="L1489" s="196" t="str">
        <v/>
      </c>
      <c r="M1489" s="196"/>
    </row>
    <row r="1490" spans="1:13" ht="14.4" x14ac:dyDescent="0.3">
      <c r="A1490" s="189" t="str">
        <f ca="1">IFERROR(__xludf.DUMMYFUNCTION("""COMPUTED_VALUE"""),"PC")</f>
        <v>PC</v>
      </c>
      <c r="B1490" s="195" t="str">
        <f ca="1">IFERROR(__xludf.DUMMYFUNCTION("""COMPUTED_VALUE"""),"Emma Kalfus")</f>
        <v>Emma Kalfus</v>
      </c>
      <c r="C1490" s="189">
        <f ca="1">IFERROR(__xludf.DUMMYFUNCTION("""COMPUTED_VALUE"""),12)</f>
        <v>12</v>
      </c>
      <c r="D1490" s="189" t="str">
        <f ca="1">IFERROR(__xludf.DUMMYFUNCTION("""COMPUTED_VALUE"""),"G")</f>
        <v>G</v>
      </c>
      <c r="E1490" s="189" t="str">
        <f ca="1">IFERROR(__xludf.DUMMYFUNCTION("""COMPUTED_VALUE"""),"J")</f>
        <v>J</v>
      </c>
      <c r="F1490" s="189" t="str">
        <f ca="1">IFERROR(__xludf.DUMMYFUNCTION("""COMPUTED_VALUE"""),"I")</f>
        <v>I</v>
      </c>
      <c r="G1490" s="189">
        <f ca="1">IFERROR(__xludf.DUMMYFUNCTION("""COMPUTED_VALUE"""),8)</f>
        <v>8</v>
      </c>
      <c r="H1490" s="196"/>
      <c r="I1490" s="196"/>
      <c r="J1490" s="196"/>
      <c r="K1490" s="196"/>
      <c r="L1490" s="196" t="str">
        <v/>
      </c>
      <c r="M1490" s="196"/>
    </row>
    <row r="1491" spans="1:13" ht="14.4" x14ac:dyDescent="0.3">
      <c r="A1491" s="189" t="str">
        <f ca="1">IFERROR(__xludf.DUMMYFUNCTION("""COMPUTED_VALUE"""),"PC")</f>
        <v>PC</v>
      </c>
      <c r="B1491" s="195" t="str">
        <f ca="1">IFERROR(__xludf.DUMMYFUNCTION("""COMPUTED_VALUE"""),"Julia Kennedy")</f>
        <v>Julia Kennedy</v>
      </c>
      <c r="C1491" s="189">
        <f ca="1">IFERROR(__xludf.DUMMYFUNCTION("""COMPUTED_VALUE"""),12)</f>
        <v>12</v>
      </c>
      <c r="D1491" s="189" t="str">
        <f ca="1">IFERROR(__xludf.DUMMYFUNCTION("""COMPUTED_VALUE"""),"G")</f>
        <v>G</v>
      </c>
      <c r="E1491" s="189" t="str">
        <f ca="1">IFERROR(__xludf.DUMMYFUNCTION("""COMPUTED_VALUE"""),"J")</f>
        <v>J</v>
      </c>
      <c r="F1491" s="189" t="str">
        <f ca="1">IFERROR(__xludf.DUMMYFUNCTION("""COMPUTED_VALUE"""),"I")</f>
        <v>I</v>
      </c>
      <c r="G1491" s="189">
        <f ca="1">IFERROR(__xludf.DUMMYFUNCTION("""COMPUTED_VALUE"""),8)</f>
        <v>8</v>
      </c>
      <c r="H1491" s="196"/>
      <c r="I1491" s="196"/>
      <c r="J1491" s="196"/>
      <c r="K1491" s="196"/>
      <c r="L1491" s="196" t="str">
        <v/>
      </c>
      <c r="M1491" s="196"/>
    </row>
    <row r="1492" spans="1:13" ht="14.4" x14ac:dyDescent="0.3">
      <c r="A1492" s="189" t="str">
        <f ca="1">IFERROR(__xludf.DUMMYFUNCTION("""COMPUTED_VALUE"""),"PC")</f>
        <v>PC</v>
      </c>
      <c r="B1492" s="195" t="str">
        <f ca="1">IFERROR(__xludf.DUMMYFUNCTION("""COMPUTED_VALUE"""),"Madeleine Yappel")</f>
        <v>Madeleine Yappel</v>
      </c>
      <c r="C1492" s="189">
        <f ca="1">IFERROR(__xludf.DUMMYFUNCTION("""COMPUTED_VALUE"""),11)</f>
        <v>11</v>
      </c>
      <c r="D1492" s="189" t="str">
        <f ca="1">IFERROR(__xludf.DUMMYFUNCTION("""COMPUTED_VALUE"""),"G")</f>
        <v>G</v>
      </c>
      <c r="E1492" s="189" t="str">
        <f ca="1">IFERROR(__xludf.DUMMYFUNCTION("""COMPUTED_VALUE"""),"J")</f>
        <v>J</v>
      </c>
      <c r="F1492" s="189" t="str">
        <f ca="1">IFERROR(__xludf.DUMMYFUNCTION("""COMPUTED_VALUE"""),"I")</f>
        <v>I</v>
      </c>
      <c r="G1492" s="189">
        <f ca="1">IFERROR(__xludf.DUMMYFUNCTION("""COMPUTED_VALUE"""),8)</f>
        <v>8</v>
      </c>
      <c r="H1492" s="196"/>
      <c r="I1492" s="196"/>
      <c r="J1492" s="196"/>
      <c r="K1492" s="196"/>
      <c r="L1492" s="196" t="str">
        <v/>
      </c>
      <c r="M1492" s="196"/>
    </row>
    <row r="1493" spans="1:13" ht="14.4" x14ac:dyDescent="0.3">
      <c r="A1493" s="189" t="str">
        <f ca="1">IFERROR(__xludf.DUMMYFUNCTION("""COMPUTED_VALUE"""),"PC")</f>
        <v>PC</v>
      </c>
      <c r="B1493" s="195" t="str">
        <f ca="1">IFERROR(__xludf.DUMMYFUNCTION("""COMPUTED_VALUE"""),"Mary Bairstow")</f>
        <v>Mary Bairstow</v>
      </c>
      <c r="C1493" s="189">
        <f ca="1">IFERROR(__xludf.DUMMYFUNCTION("""COMPUTED_VALUE"""),12)</f>
        <v>12</v>
      </c>
      <c r="D1493" s="189" t="str">
        <f ca="1">IFERROR(__xludf.DUMMYFUNCTION("""COMPUTED_VALUE"""),"G")</f>
        <v>G</v>
      </c>
      <c r="E1493" s="189" t="str">
        <f ca="1">IFERROR(__xludf.DUMMYFUNCTION("""COMPUTED_VALUE"""),"J")</f>
        <v>J</v>
      </c>
      <c r="F1493" s="189" t="str">
        <f ca="1">IFERROR(__xludf.DUMMYFUNCTION("""COMPUTED_VALUE"""),"I")</f>
        <v>I</v>
      </c>
      <c r="G1493" s="189">
        <f ca="1">IFERROR(__xludf.DUMMYFUNCTION("""COMPUTED_VALUE"""),8)</f>
        <v>8</v>
      </c>
      <c r="H1493" s="196"/>
      <c r="I1493" s="196"/>
      <c r="J1493" s="196"/>
      <c r="K1493" s="196"/>
      <c r="L1493" s="196" t="str">
        <v/>
      </c>
      <c r="M1493" s="196"/>
    </row>
    <row r="1494" spans="1:13" ht="14.4" x14ac:dyDescent="0.3">
      <c r="A1494" s="189" t="str">
        <f ca="1">IFERROR(__xludf.DUMMYFUNCTION("""COMPUTED_VALUE"""),"PC")</f>
        <v>PC</v>
      </c>
      <c r="B1494" s="195" t="str">
        <f ca="1">IFERROR(__xludf.DUMMYFUNCTION("""COMPUTED_VALUE"""),"Swara Vadlamani")</f>
        <v>Swara Vadlamani</v>
      </c>
      <c r="C1494" s="189">
        <f ca="1">IFERROR(__xludf.DUMMYFUNCTION("""COMPUTED_VALUE"""),11)</f>
        <v>11</v>
      </c>
      <c r="D1494" s="189" t="str">
        <f ca="1">IFERROR(__xludf.DUMMYFUNCTION("""COMPUTED_VALUE"""),"G")</f>
        <v>G</v>
      </c>
      <c r="E1494" s="189" t="str">
        <f ca="1">IFERROR(__xludf.DUMMYFUNCTION("""COMPUTED_VALUE"""),"J")</f>
        <v>J</v>
      </c>
      <c r="F1494" s="189" t="str">
        <f ca="1">IFERROR(__xludf.DUMMYFUNCTION("""COMPUTED_VALUE"""),"I")</f>
        <v>I</v>
      </c>
      <c r="G1494" s="189">
        <f ca="1">IFERROR(__xludf.DUMMYFUNCTION("""COMPUTED_VALUE"""),8)</f>
        <v>8</v>
      </c>
      <c r="H1494" s="196"/>
      <c r="I1494" s="196"/>
      <c r="J1494" s="196"/>
      <c r="K1494" s="196"/>
      <c r="L1494" s="196" t="str">
        <v/>
      </c>
      <c r="M1494" s="196"/>
    </row>
    <row r="1495" spans="1:13" ht="14.4" x14ac:dyDescent="0.3">
      <c r="A1495" s="189" t="str">
        <f ca="1">IFERROR(__xludf.DUMMYFUNCTION("""COMPUTED_VALUE"""),"PC")</f>
        <v>PC</v>
      </c>
      <c r="B1495" s="195" t="str">
        <f ca="1">IFERROR(__xludf.DUMMYFUNCTION("""COMPUTED_VALUE"""),"Aaron Barger")</f>
        <v>Aaron Barger</v>
      </c>
      <c r="C1495" s="189">
        <f ca="1">IFERROR(__xludf.DUMMYFUNCTION("""COMPUTED_VALUE"""),11)</f>
        <v>11</v>
      </c>
      <c r="D1495" s="189" t="str">
        <f ca="1">IFERROR(__xludf.DUMMYFUNCTION("""COMPUTED_VALUE"""),"B")</f>
        <v>B</v>
      </c>
      <c r="E1495" s="189" t="str">
        <f ca="1">IFERROR(__xludf.DUMMYFUNCTION("""COMPUTED_VALUE"""),"J")</f>
        <v>J</v>
      </c>
      <c r="F1495" s="189" t="str">
        <f ca="1">IFERROR(__xludf.DUMMYFUNCTION("""COMPUTED_VALUE"""),"I")</f>
        <v>I</v>
      </c>
      <c r="G1495" s="189">
        <f ca="1">IFERROR(__xludf.DUMMYFUNCTION("""COMPUTED_VALUE"""),8)</f>
        <v>8</v>
      </c>
      <c r="H1495" s="196" t="s">
        <v>630</v>
      </c>
      <c r="I1495" s="196"/>
      <c r="J1495" s="196" t="s">
        <v>29</v>
      </c>
      <c r="K1495" s="196"/>
      <c r="L1495" s="196" t="str">
        <v xml:space="preserve"> 60.95</v>
      </c>
      <c r="M1495" s="196"/>
    </row>
    <row r="1496" spans="1:13" ht="14.4" x14ac:dyDescent="0.3">
      <c r="A1496" s="189" t="str">
        <f ca="1">IFERROR(__xludf.DUMMYFUNCTION("""COMPUTED_VALUE"""),"PC")</f>
        <v>PC</v>
      </c>
      <c r="B1496" s="195" t="str">
        <f ca="1">IFERROR(__xludf.DUMMYFUNCTION("""COMPUTED_VALUE"""),"Andrew Cho")</f>
        <v>Andrew Cho</v>
      </c>
      <c r="C1496" s="189">
        <f ca="1">IFERROR(__xludf.DUMMYFUNCTION("""COMPUTED_VALUE"""),11)</f>
        <v>11</v>
      </c>
      <c r="D1496" s="189" t="str">
        <f ca="1">IFERROR(__xludf.DUMMYFUNCTION("""COMPUTED_VALUE"""),"B")</f>
        <v>B</v>
      </c>
      <c r="E1496" s="189" t="str">
        <f ca="1">IFERROR(__xludf.DUMMYFUNCTION("""COMPUTED_VALUE"""),"J")</f>
        <v>J</v>
      </c>
      <c r="F1496" s="189" t="str">
        <f ca="1">IFERROR(__xludf.DUMMYFUNCTION("""COMPUTED_VALUE"""),"I")</f>
        <v>I</v>
      </c>
      <c r="G1496" s="189">
        <f ca="1">IFERROR(__xludf.DUMMYFUNCTION("""COMPUTED_VALUE"""),8)</f>
        <v>8</v>
      </c>
      <c r="H1496" s="196" t="s">
        <v>631</v>
      </c>
      <c r="I1496" s="196"/>
      <c r="J1496" s="196" t="s">
        <v>29</v>
      </c>
      <c r="K1496" s="196"/>
      <c r="L1496" s="196" t="str">
        <v xml:space="preserve"> 74.55</v>
      </c>
      <c r="M1496" s="196"/>
    </row>
    <row r="1497" spans="1:13" ht="14.4" x14ac:dyDescent="0.3">
      <c r="A1497" s="189" t="str">
        <f ca="1">IFERROR(__xludf.DUMMYFUNCTION("""COMPUTED_VALUE"""),"PC")</f>
        <v>PC</v>
      </c>
      <c r="B1497" s="195" t="str">
        <f ca="1">IFERROR(__xludf.DUMMYFUNCTION("""COMPUTED_VALUE"""),"Natalie Shlesinger")</f>
        <v>Natalie Shlesinger</v>
      </c>
      <c r="C1497" s="189">
        <f ca="1">IFERROR(__xludf.DUMMYFUNCTION("""COMPUTED_VALUE"""),11)</f>
        <v>11</v>
      </c>
      <c r="D1497" s="189" t="str">
        <f ca="1">IFERROR(__xludf.DUMMYFUNCTION("""COMPUTED_VALUE"""),"B")</f>
        <v>B</v>
      </c>
      <c r="E1497" s="189" t="str">
        <f ca="1">IFERROR(__xludf.DUMMYFUNCTION("""COMPUTED_VALUE"""),"J")</f>
        <v>J</v>
      </c>
      <c r="F1497" s="189" t="str">
        <f ca="1">IFERROR(__xludf.DUMMYFUNCTION("""COMPUTED_VALUE"""),"I")</f>
        <v>I</v>
      </c>
      <c r="G1497" s="189">
        <f ca="1">IFERROR(__xludf.DUMMYFUNCTION("""COMPUTED_VALUE"""),8)</f>
        <v>8</v>
      </c>
      <c r="H1497" s="196"/>
      <c r="I1497" s="196"/>
      <c r="J1497" s="196"/>
      <c r="K1497" s="196"/>
      <c r="L1497" s="196" t="str">
        <v/>
      </c>
      <c r="M1497" s="196"/>
    </row>
    <row r="1498" spans="1:13" ht="14.4" x14ac:dyDescent="0.3">
      <c r="A1498" s="189" t="str">
        <f ca="1">IFERROR(__xludf.DUMMYFUNCTION("""COMPUTED_VALUE"""),"PL")</f>
        <v>PL</v>
      </c>
      <c r="B1498" s="195" t="str">
        <f ca="1">IFERROR(__xludf.DUMMYFUNCTION("""COMPUTED_VALUE"""),"Addie Celentano")</f>
        <v>Addie Celentano</v>
      </c>
      <c r="C1498" s="189">
        <f ca="1">IFERROR(__xludf.DUMMYFUNCTION("""COMPUTED_VALUE"""),9)</f>
        <v>9</v>
      </c>
      <c r="D1498" s="189" t="str">
        <f ca="1">IFERROR(__xludf.DUMMYFUNCTION("""COMPUTED_VALUE"""),"G")</f>
        <v>G</v>
      </c>
      <c r="E1498" s="189" t="str">
        <f ca="1">IFERROR(__xludf.DUMMYFUNCTION("""COMPUTED_VALUE"""),"F")</f>
        <v>F</v>
      </c>
      <c r="F1498" s="189" t="str">
        <f ca="1">IFERROR(__xludf.DUMMYFUNCTION("""COMPUTED_VALUE"""),"J")</f>
        <v>J</v>
      </c>
      <c r="G1498" s="189">
        <f ca="1">IFERROR(__xludf.DUMMYFUNCTION("""COMPUTED_VALUE"""),6)</f>
        <v>6</v>
      </c>
      <c r="H1498" s="196" t="s">
        <v>83</v>
      </c>
      <c r="I1498" s="196"/>
      <c r="J1498" s="196" t="s">
        <v>29</v>
      </c>
      <c r="K1498" s="196"/>
      <c r="L1498" s="196" t="str">
        <v xml:space="preserve"> 64.30</v>
      </c>
      <c r="M1498" s="196"/>
    </row>
    <row r="1499" spans="1:13" ht="14.4" x14ac:dyDescent="0.3">
      <c r="A1499" s="189" t="str">
        <f ca="1">IFERROR(__xludf.DUMMYFUNCTION("""COMPUTED_VALUE"""),"PL")</f>
        <v>PL</v>
      </c>
      <c r="B1499" s="195" t="str">
        <f ca="1">IFERROR(__xludf.DUMMYFUNCTION("""COMPUTED_VALUE"""),"Ceclia White")</f>
        <v>Ceclia White</v>
      </c>
      <c r="C1499" s="189">
        <f ca="1">IFERROR(__xludf.DUMMYFUNCTION("""COMPUTED_VALUE"""),9)</f>
        <v>9</v>
      </c>
      <c r="D1499" s="189" t="str">
        <f ca="1">IFERROR(__xludf.DUMMYFUNCTION("""COMPUTED_VALUE"""),"G")</f>
        <v>G</v>
      </c>
      <c r="E1499" s="189" t="str">
        <f ca="1">IFERROR(__xludf.DUMMYFUNCTION("""COMPUTED_VALUE"""),"F")</f>
        <v>F</v>
      </c>
      <c r="F1499" s="189" t="str">
        <f ca="1">IFERROR(__xludf.DUMMYFUNCTION("""COMPUTED_VALUE"""),"J")</f>
        <v>J</v>
      </c>
      <c r="G1499" s="189">
        <f ca="1">IFERROR(__xludf.DUMMYFUNCTION("""COMPUTED_VALUE"""),6)</f>
        <v>6</v>
      </c>
      <c r="H1499" s="196" t="s">
        <v>632</v>
      </c>
      <c r="I1499" s="196"/>
      <c r="J1499" s="196" t="s">
        <v>29</v>
      </c>
      <c r="K1499" s="196"/>
      <c r="L1499" s="196" t="str">
        <v xml:space="preserve"> 36.30</v>
      </c>
      <c r="M1499" s="196"/>
    </row>
    <row r="1500" spans="1:13" ht="14.4" x14ac:dyDescent="0.3">
      <c r="A1500" s="189" t="str">
        <f ca="1">IFERROR(__xludf.DUMMYFUNCTION("""COMPUTED_VALUE"""),"PL")</f>
        <v>PL</v>
      </c>
      <c r="B1500" s="195" t="str">
        <f ca="1">IFERROR(__xludf.DUMMYFUNCTION("""COMPUTED_VALUE"""),"Clara Berkey")</f>
        <v>Clara Berkey</v>
      </c>
      <c r="C1500" s="189">
        <f ca="1">IFERROR(__xludf.DUMMYFUNCTION("""COMPUTED_VALUE"""),10)</f>
        <v>10</v>
      </c>
      <c r="D1500" s="189" t="str">
        <f ca="1">IFERROR(__xludf.DUMMYFUNCTION("""COMPUTED_VALUE"""),"G")</f>
        <v>G</v>
      </c>
      <c r="E1500" s="189" t="str">
        <f ca="1">IFERROR(__xludf.DUMMYFUNCTION("""COMPUTED_VALUE"""),"F")</f>
        <v>F</v>
      </c>
      <c r="F1500" s="189" t="str">
        <f ca="1">IFERROR(__xludf.DUMMYFUNCTION("""COMPUTED_VALUE"""),"J")</f>
        <v>J</v>
      </c>
      <c r="G1500" s="189">
        <f ca="1">IFERROR(__xludf.DUMMYFUNCTION("""COMPUTED_VALUE"""),6)</f>
        <v>6</v>
      </c>
      <c r="H1500" s="196"/>
      <c r="I1500" s="196"/>
      <c r="J1500" s="196"/>
      <c r="K1500" s="196"/>
      <c r="L1500" s="196" t="str">
        <v/>
      </c>
      <c r="M1500" s="196"/>
    </row>
    <row r="1501" spans="1:13" ht="14.4" x14ac:dyDescent="0.3">
      <c r="A1501" s="189" t="str">
        <f ca="1">IFERROR(__xludf.DUMMYFUNCTION("""COMPUTED_VALUE"""),"PL")</f>
        <v>PL</v>
      </c>
      <c r="B1501" s="195" t="str">
        <f ca="1">IFERROR(__xludf.DUMMYFUNCTION("""COMPUTED_VALUE"""),"Danelea Shea")</f>
        <v>Danelea Shea</v>
      </c>
      <c r="C1501" s="189">
        <f ca="1">IFERROR(__xludf.DUMMYFUNCTION("""COMPUTED_VALUE"""),10)</f>
        <v>10</v>
      </c>
      <c r="D1501" s="189" t="str">
        <f ca="1">IFERROR(__xludf.DUMMYFUNCTION("""COMPUTED_VALUE"""),"G")</f>
        <v>G</v>
      </c>
      <c r="E1501" s="189" t="str">
        <f ca="1">IFERROR(__xludf.DUMMYFUNCTION("""COMPUTED_VALUE"""),"F")</f>
        <v>F</v>
      </c>
      <c r="F1501" s="189" t="str">
        <f ca="1">IFERROR(__xludf.DUMMYFUNCTION("""COMPUTED_VALUE"""),"J")</f>
        <v>J</v>
      </c>
      <c r="G1501" s="189">
        <f ca="1">IFERROR(__xludf.DUMMYFUNCTION("""COMPUTED_VALUE"""),6)</f>
        <v>6</v>
      </c>
      <c r="H1501" s="196" t="s">
        <v>633</v>
      </c>
      <c r="I1501" s="196"/>
      <c r="J1501" s="196" t="s">
        <v>29</v>
      </c>
      <c r="K1501" s="196"/>
      <c r="L1501" s="196" t="str">
        <v xml:space="preserve"> 39.45</v>
      </c>
      <c r="M1501" s="196"/>
    </row>
    <row r="1502" spans="1:13" ht="14.4" x14ac:dyDescent="0.3">
      <c r="A1502" s="189" t="str">
        <f ca="1">IFERROR(__xludf.DUMMYFUNCTION("""COMPUTED_VALUE"""),"PL")</f>
        <v>PL</v>
      </c>
      <c r="B1502" s="195" t="str">
        <f ca="1">IFERROR(__xludf.DUMMYFUNCTION("""COMPUTED_VALUE"""),"Emma Hsai")</f>
        <v>Emma Hsai</v>
      </c>
      <c r="C1502" s="189">
        <f ca="1">IFERROR(__xludf.DUMMYFUNCTION("""COMPUTED_VALUE"""),8)</f>
        <v>8</v>
      </c>
      <c r="D1502" s="189" t="str">
        <f ca="1">IFERROR(__xludf.DUMMYFUNCTION("""COMPUTED_VALUE"""),"G")</f>
        <v>G</v>
      </c>
      <c r="E1502" s="189" t="str">
        <f ca="1">IFERROR(__xludf.DUMMYFUNCTION("""COMPUTED_VALUE"""),"F")</f>
        <v>F</v>
      </c>
      <c r="F1502" s="189" t="str">
        <f ca="1">IFERROR(__xludf.DUMMYFUNCTION("""COMPUTED_VALUE"""),"J")</f>
        <v>J</v>
      </c>
      <c r="G1502" s="189">
        <f ca="1">IFERROR(__xludf.DUMMYFUNCTION("""COMPUTED_VALUE"""),6)</f>
        <v>6</v>
      </c>
      <c r="H1502" s="196"/>
      <c r="I1502" s="196"/>
      <c r="J1502" s="196"/>
      <c r="K1502" s="196"/>
      <c r="L1502" s="196" t="str">
        <v/>
      </c>
      <c r="M1502" s="196"/>
    </row>
    <row r="1503" spans="1:13" ht="14.4" x14ac:dyDescent="0.3">
      <c r="A1503" s="189" t="str">
        <f ca="1">IFERROR(__xludf.DUMMYFUNCTION("""COMPUTED_VALUE"""),"PL")</f>
        <v>PL</v>
      </c>
      <c r="B1503" s="195" t="str">
        <f ca="1">IFERROR(__xludf.DUMMYFUNCTION("""COMPUTED_VALUE"""),"Stella Tuttle")</f>
        <v>Stella Tuttle</v>
      </c>
      <c r="C1503" s="189">
        <f ca="1">IFERROR(__xludf.DUMMYFUNCTION("""COMPUTED_VALUE"""),10)</f>
        <v>10</v>
      </c>
      <c r="D1503" s="189" t="str">
        <f ca="1">IFERROR(__xludf.DUMMYFUNCTION("""COMPUTED_VALUE"""),"G")</f>
        <v>G</v>
      </c>
      <c r="E1503" s="189" t="str">
        <f ca="1">IFERROR(__xludf.DUMMYFUNCTION("""COMPUTED_VALUE"""),"F")</f>
        <v>F</v>
      </c>
      <c r="F1503" s="189" t="str">
        <f ca="1">IFERROR(__xludf.DUMMYFUNCTION("""COMPUTED_VALUE"""),"J")</f>
        <v>J</v>
      </c>
      <c r="G1503" s="189">
        <f ca="1">IFERROR(__xludf.DUMMYFUNCTION("""COMPUTED_VALUE"""),6)</f>
        <v>6</v>
      </c>
      <c r="H1503" s="196"/>
      <c r="I1503" s="196"/>
      <c r="J1503" s="196"/>
      <c r="K1503" s="196"/>
      <c r="L1503" s="196" t="str">
        <v/>
      </c>
      <c r="M1503" s="196"/>
    </row>
    <row r="1504" spans="1:13" ht="14.4" x14ac:dyDescent="0.3">
      <c r="A1504" s="189" t="str">
        <f ca="1">IFERROR(__xludf.DUMMYFUNCTION("""COMPUTED_VALUE"""),"PL")</f>
        <v>PL</v>
      </c>
      <c r="B1504" s="195" t="str">
        <f ca="1">IFERROR(__xludf.DUMMYFUNCTION("""COMPUTED_VALUE"""),"Archie Wiedemann")</f>
        <v>Archie Wiedemann</v>
      </c>
      <c r="C1504" s="189">
        <f ca="1">IFERROR(__xludf.DUMMYFUNCTION("""COMPUTED_VALUE"""),10)</f>
        <v>10</v>
      </c>
      <c r="D1504" s="189" t="str">
        <f ca="1">IFERROR(__xludf.DUMMYFUNCTION("""COMPUTED_VALUE"""),"B")</f>
        <v>B</v>
      </c>
      <c r="E1504" s="189" t="str">
        <f ca="1">IFERROR(__xludf.DUMMYFUNCTION("""COMPUTED_VALUE"""),"F")</f>
        <v>F</v>
      </c>
      <c r="F1504" s="189" t="str">
        <f ca="1">IFERROR(__xludf.DUMMYFUNCTION("""COMPUTED_VALUE"""),"J")</f>
        <v>J</v>
      </c>
      <c r="G1504" s="189">
        <f ca="1">IFERROR(__xludf.DUMMYFUNCTION("""COMPUTED_VALUE"""),6)</f>
        <v>6</v>
      </c>
      <c r="H1504" s="196" t="s">
        <v>634</v>
      </c>
      <c r="I1504" s="196"/>
      <c r="J1504" s="196" t="s">
        <v>29</v>
      </c>
      <c r="K1504" s="196"/>
      <c r="L1504" s="196" t="str">
        <v xml:space="preserve"> 67.65</v>
      </c>
      <c r="M1504" s="196"/>
    </row>
    <row r="1505" spans="1:13" ht="14.4" x14ac:dyDescent="0.3">
      <c r="A1505" s="189" t="str">
        <f ca="1">IFERROR(__xludf.DUMMYFUNCTION("""COMPUTED_VALUE"""),"PL")</f>
        <v>PL</v>
      </c>
      <c r="B1505" s="195" t="str">
        <f ca="1">IFERROR(__xludf.DUMMYFUNCTION("""COMPUTED_VALUE"""),"Cameron Effgen")</f>
        <v>Cameron Effgen</v>
      </c>
      <c r="C1505" s="189">
        <f ca="1">IFERROR(__xludf.DUMMYFUNCTION("""COMPUTED_VALUE"""),10)</f>
        <v>10</v>
      </c>
      <c r="D1505" s="189" t="str">
        <f ca="1">IFERROR(__xludf.DUMMYFUNCTION("""COMPUTED_VALUE"""),"B")</f>
        <v>B</v>
      </c>
      <c r="E1505" s="189" t="str">
        <f ca="1">IFERROR(__xludf.DUMMYFUNCTION("""COMPUTED_VALUE"""),"F")</f>
        <v>F</v>
      </c>
      <c r="F1505" s="189" t="str">
        <f ca="1">IFERROR(__xludf.DUMMYFUNCTION("""COMPUTED_VALUE"""),"J")</f>
        <v>J</v>
      </c>
      <c r="G1505" s="189">
        <f ca="1">IFERROR(__xludf.DUMMYFUNCTION("""COMPUTED_VALUE"""),6)</f>
        <v>6</v>
      </c>
      <c r="H1505" s="196" t="s">
        <v>635</v>
      </c>
      <c r="I1505" s="196"/>
      <c r="J1505" s="196" t="s">
        <v>29</v>
      </c>
      <c r="K1505" s="196"/>
      <c r="L1505" s="196" t="str">
        <v xml:space="preserve"> 47.75</v>
      </c>
      <c r="M1505" s="196"/>
    </row>
    <row r="1506" spans="1:13" ht="14.4" x14ac:dyDescent="0.3">
      <c r="A1506" s="189" t="str">
        <f ca="1">IFERROR(__xludf.DUMMYFUNCTION("""COMPUTED_VALUE"""),"PL")</f>
        <v>PL</v>
      </c>
      <c r="B1506" s="195" t="str">
        <f ca="1">IFERROR(__xludf.DUMMYFUNCTION("""COMPUTED_VALUE"""),"David McArdle")</f>
        <v>David McArdle</v>
      </c>
      <c r="C1506" s="189">
        <f ca="1">IFERROR(__xludf.DUMMYFUNCTION("""COMPUTED_VALUE"""),8)</f>
        <v>8</v>
      </c>
      <c r="D1506" s="189" t="str">
        <f ca="1">IFERROR(__xludf.DUMMYFUNCTION("""COMPUTED_VALUE"""),"B")</f>
        <v>B</v>
      </c>
      <c r="E1506" s="189" t="str">
        <f ca="1">IFERROR(__xludf.DUMMYFUNCTION("""COMPUTED_VALUE"""),"F")</f>
        <v>F</v>
      </c>
      <c r="F1506" s="189" t="str">
        <f ca="1">IFERROR(__xludf.DUMMYFUNCTION("""COMPUTED_VALUE"""),"J")</f>
        <v>J</v>
      </c>
      <c r="G1506" s="189">
        <f ca="1">IFERROR(__xludf.DUMMYFUNCTION("""COMPUTED_VALUE"""),6)</f>
        <v>6</v>
      </c>
      <c r="H1506" s="196" t="s">
        <v>636</v>
      </c>
      <c r="I1506" s="196"/>
      <c r="J1506" s="196" t="s">
        <v>29</v>
      </c>
      <c r="K1506" s="196"/>
      <c r="L1506" s="196" t="str">
        <v xml:space="preserve"> 33.30</v>
      </c>
      <c r="M1506" s="196"/>
    </row>
    <row r="1507" spans="1:13" ht="14.4" x14ac:dyDescent="0.3">
      <c r="A1507" s="189" t="str">
        <f ca="1">IFERROR(__xludf.DUMMYFUNCTION("""COMPUTED_VALUE"""),"PL")</f>
        <v>PL</v>
      </c>
      <c r="B1507" s="195" t="str">
        <f ca="1">IFERROR(__xludf.DUMMYFUNCTION("""COMPUTED_VALUE"""),"Jackson Lopez")</f>
        <v>Jackson Lopez</v>
      </c>
      <c r="C1507" s="189">
        <f ca="1">IFERROR(__xludf.DUMMYFUNCTION("""COMPUTED_VALUE"""),8)</f>
        <v>8</v>
      </c>
      <c r="D1507" s="189" t="str">
        <f ca="1">IFERROR(__xludf.DUMMYFUNCTION("""COMPUTED_VALUE"""),"B")</f>
        <v>B</v>
      </c>
      <c r="E1507" s="189" t="str">
        <f ca="1">IFERROR(__xludf.DUMMYFUNCTION("""COMPUTED_VALUE"""),"F")</f>
        <v>F</v>
      </c>
      <c r="F1507" s="189" t="str">
        <f ca="1">IFERROR(__xludf.DUMMYFUNCTION("""COMPUTED_VALUE"""),"J")</f>
        <v>J</v>
      </c>
      <c r="G1507" s="189">
        <f ca="1">IFERROR(__xludf.DUMMYFUNCTION("""COMPUTED_VALUE"""),6)</f>
        <v>6</v>
      </c>
      <c r="H1507" s="196" t="s">
        <v>248</v>
      </c>
      <c r="I1507" s="196"/>
      <c r="J1507" s="196" t="s">
        <v>29</v>
      </c>
      <c r="K1507" s="196"/>
      <c r="L1507" s="196" t="str">
        <v xml:space="preserve"> 34.25</v>
      </c>
      <c r="M1507" s="196"/>
    </row>
    <row r="1508" spans="1:13" ht="14.4" x14ac:dyDescent="0.3">
      <c r="A1508" s="189" t="str">
        <f ca="1">IFERROR(__xludf.DUMMYFUNCTION("""COMPUTED_VALUE"""),"PL")</f>
        <v>PL</v>
      </c>
      <c r="B1508" s="195" t="str">
        <f ca="1">IFERROR(__xludf.DUMMYFUNCTION("""COMPUTED_VALUE"""),"Micah Hsai")</f>
        <v>Micah Hsai</v>
      </c>
      <c r="C1508" s="189">
        <f ca="1">IFERROR(__xludf.DUMMYFUNCTION("""COMPUTED_VALUE"""),9)</f>
        <v>9</v>
      </c>
      <c r="D1508" s="189" t="str">
        <f ca="1">IFERROR(__xludf.DUMMYFUNCTION("""COMPUTED_VALUE"""),"B")</f>
        <v>B</v>
      </c>
      <c r="E1508" s="189" t="str">
        <f ca="1">IFERROR(__xludf.DUMMYFUNCTION("""COMPUTED_VALUE"""),"F")</f>
        <v>F</v>
      </c>
      <c r="F1508" s="189" t="str">
        <f ca="1">IFERROR(__xludf.DUMMYFUNCTION("""COMPUTED_VALUE"""),"J")</f>
        <v>J</v>
      </c>
      <c r="G1508" s="189">
        <f ca="1">IFERROR(__xludf.DUMMYFUNCTION("""COMPUTED_VALUE"""),6)</f>
        <v>6</v>
      </c>
      <c r="H1508" s="196"/>
      <c r="I1508" s="196"/>
      <c r="J1508" s="196"/>
      <c r="K1508" s="196"/>
      <c r="L1508" s="196" t="str">
        <v/>
      </c>
      <c r="M1508" s="196"/>
    </row>
    <row r="1509" spans="1:13" ht="14.4" x14ac:dyDescent="0.3">
      <c r="A1509" s="189" t="str">
        <f ca="1">IFERROR(__xludf.DUMMYFUNCTION("""COMPUTED_VALUE"""),"PL")</f>
        <v>PL</v>
      </c>
      <c r="B1509" s="195" t="str">
        <f ca="1">IFERROR(__xludf.DUMMYFUNCTION("""COMPUTED_VALUE"""),"Preston Tuttle")</f>
        <v>Preston Tuttle</v>
      </c>
      <c r="C1509" s="189">
        <f ca="1">IFERROR(__xludf.DUMMYFUNCTION("""COMPUTED_VALUE"""),8)</f>
        <v>8</v>
      </c>
      <c r="D1509" s="189" t="str">
        <f ca="1">IFERROR(__xludf.DUMMYFUNCTION("""COMPUTED_VALUE"""),"B")</f>
        <v>B</v>
      </c>
      <c r="E1509" s="189" t="str">
        <f ca="1">IFERROR(__xludf.DUMMYFUNCTION("""COMPUTED_VALUE"""),"F")</f>
        <v>F</v>
      </c>
      <c r="F1509" s="189" t="str">
        <f ca="1">IFERROR(__xludf.DUMMYFUNCTION("""COMPUTED_VALUE"""),"J")</f>
        <v>J</v>
      </c>
      <c r="G1509" s="189">
        <f ca="1">IFERROR(__xludf.DUMMYFUNCTION("""COMPUTED_VALUE"""),6)</f>
        <v>6</v>
      </c>
      <c r="H1509" s="196" t="s">
        <v>36</v>
      </c>
      <c r="I1509" s="196"/>
      <c r="J1509" s="196" t="s">
        <v>29</v>
      </c>
      <c r="K1509" s="196"/>
      <c r="L1509" s="196" t="str">
        <v xml:space="preserve"> 23.80</v>
      </c>
      <c r="M1509" s="196"/>
    </row>
    <row r="1510" spans="1:13" ht="14.4" x14ac:dyDescent="0.3">
      <c r="A1510" s="189" t="str">
        <f ca="1">IFERROR(__xludf.DUMMYFUNCTION("""COMPUTED_VALUE"""),"PL")</f>
        <v>PL</v>
      </c>
      <c r="B1510" s="195" t="str">
        <f ca="1">IFERROR(__xludf.DUMMYFUNCTION("""COMPUTED_VALUE"""),"Wystan Kyser")</f>
        <v>Wystan Kyser</v>
      </c>
      <c r="C1510" s="189">
        <f ca="1">IFERROR(__xludf.DUMMYFUNCTION("""COMPUTED_VALUE"""),9)</f>
        <v>9</v>
      </c>
      <c r="D1510" s="189" t="str">
        <f ca="1">IFERROR(__xludf.DUMMYFUNCTION("""COMPUTED_VALUE"""),"B")</f>
        <v>B</v>
      </c>
      <c r="E1510" s="189" t="str">
        <f ca="1">IFERROR(__xludf.DUMMYFUNCTION("""COMPUTED_VALUE"""),"F")</f>
        <v>F</v>
      </c>
      <c r="F1510" s="189" t="str">
        <f ca="1">IFERROR(__xludf.DUMMYFUNCTION("""COMPUTED_VALUE"""),"J")</f>
        <v>J</v>
      </c>
      <c r="G1510" s="189">
        <f ca="1">IFERROR(__xludf.DUMMYFUNCTION("""COMPUTED_VALUE"""),6)</f>
        <v>6</v>
      </c>
      <c r="H1510" s="196"/>
      <c r="I1510" s="196"/>
      <c r="J1510" s="196"/>
      <c r="K1510" s="196"/>
      <c r="L1510" s="196" t="str">
        <v/>
      </c>
      <c r="M1510" s="196"/>
    </row>
    <row r="1511" spans="1:13" ht="14.4" x14ac:dyDescent="0.3">
      <c r="A1511" s="189" t="str">
        <f ca="1">IFERROR(__xludf.DUMMYFUNCTION("""COMPUTED_VALUE"""),"PL")</f>
        <v>PL</v>
      </c>
      <c r="B1511" s="195" t="str">
        <f ca="1">IFERROR(__xludf.DUMMYFUNCTION("""COMPUTED_VALUE"""),"Alexandra Lee")</f>
        <v>Alexandra Lee</v>
      </c>
      <c r="C1511" s="189">
        <f ca="1">IFERROR(__xludf.DUMMYFUNCTION("""COMPUTED_VALUE"""),13)</f>
        <v>13</v>
      </c>
      <c r="D1511" s="189" t="str">
        <f ca="1">IFERROR(__xludf.DUMMYFUNCTION("""COMPUTED_VALUE"""),"G")</f>
        <v>G</v>
      </c>
      <c r="E1511" s="189" t="str">
        <f ca="1">IFERROR(__xludf.DUMMYFUNCTION("""COMPUTED_VALUE"""),"I")</f>
        <v>I</v>
      </c>
      <c r="F1511" s="189" t="str">
        <f ca="1">IFERROR(__xludf.DUMMYFUNCTION("""COMPUTED_VALUE"""),"S")</f>
        <v>S</v>
      </c>
      <c r="G1511" s="189">
        <f ca="1">IFERROR(__xludf.DUMMYFUNCTION("""COMPUTED_VALUE"""),6)</f>
        <v>6</v>
      </c>
      <c r="H1511" s="196" t="s">
        <v>415</v>
      </c>
      <c r="I1511" s="196"/>
      <c r="J1511" s="196" t="s">
        <v>29</v>
      </c>
      <c r="K1511" s="196"/>
      <c r="L1511" s="196" t="str">
        <v xml:space="preserve"> 122.70</v>
      </c>
      <c r="M1511" s="196"/>
    </row>
    <row r="1512" spans="1:13" ht="14.4" x14ac:dyDescent="0.3">
      <c r="A1512" s="189" t="str">
        <f ca="1">IFERROR(__xludf.DUMMYFUNCTION("""COMPUTED_VALUE"""),"PL")</f>
        <v>PL</v>
      </c>
      <c r="B1512" s="195" t="str">
        <f ca="1">IFERROR(__xludf.DUMMYFUNCTION("""COMPUTED_VALUE"""),"Camille Sonn")</f>
        <v>Camille Sonn</v>
      </c>
      <c r="C1512" s="189">
        <f ca="1">IFERROR(__xludf.DUMMYFUNCTION("""COMPUTED_VALUE"""),13)</f>
        <v>13</v>
      </c>
      <c r="D1512" s="189" t="str">
        <f ca="1">IFERROR(__xludf.DUMMYFUNCTION("""COMPUTED_VALUE"""),"G")</f>
        <v>G</v>
      </c>
      <c r="E1512" s="189" t="str">
        <f ca="1">IFERROR(__xludf.DUMMYFUNCTION("""COMPUTED_VALUE"""),"I")</f>
        <v>I</v>
      </c>
      <c r="F1512" s="189" t="str">
        <f ca="1">IFERROR(__xludf.DUMMYFUNCTION("""COMPUTED_VALUE"""),"S")</f>
        <v>S</v>
      </c>
      <c r="G1512" s="189">
        <f ca="1">IFERROR(__xludf.DUMMYFUNCTION("""COMPUTED_VALUE"""),6)</f>
        <v>6</v>
      </c>
      <c r="H1512" s="196"/>
      <c r="I1512" s="196"/>
      <c r="J1512" s="196"/>
      <c r="K1512" s="196"/>
      <c r="L1512" s="196" t="str">
        <v/>
      </c>
      <c r="M1512" s="196"/>
    </row>
    <row r="1513" spans="1:13" ht="14.4" x14ac:dyDescent="0.3">
      <c r="A1513" s="189" t="str">
        <f ca="1">IFERROR(__xludf.DUMMYFUNCTION("""COMPUTED_VALUE"""),"PL")</f>
        <v>PL</v>
      </c>
      <c r="B1513" s="195" t="str">
        <f ca="1">IFERROR(__xludf.DUMMYFUNCTION("""COMPUTED_VALUE"""),"Greta Ploetz")</f>
        <v>Greta Ploetz</v>
      </c>
      <c r="C1513" s="189">
        <f ca="1">IFERROR(__xludf.DUMMYFUNCTION("""COMPUTED_VALUE"""),13)</f>
        <v>13</v>
      </c>
      <c r="D1513" s="189" t="str">
        <f ca="1">IFERROR(__xludf.DUMMYFUNCTION("""COMPUTED_VALUE"""),"G")</f>
        <v>G</v>
      </c>
      <c r="E1513" s="189" t="str">
        <f ca="1">IFERROR(__xludf.DUMMYFUNCTION("""COMPUTED_VALUE"""),"I")</f>
        <v>I</v>
      </c>
      <c r="F1513" s="189" t="str">
        <f ca="1">IFERROR(__xludf.DUMMYFUNCTION("""COMPUTED_VALUE"""),"S")</f>
        <v>S</v>
      </c>
      <c r="G1513" s="189">
        <f ca="1">IFERROR(__xludf.DUMMYFUNCTION("""COMPUTED_VALUE"""),6)</f>
        <v>6</v>
      </c>
      <c r="H1513" s="196"/>
      <c r="I1513" s="196"/>
      <c r="J1513" s="196"/>
      <c r="K1513" s="196"/>
      <c r="L1513" s="196" t="str">
        <v/>
      </c>
      <c r="M1513" s="196"/>
    </row>
    <row r="1514" spans="1:13" ht="14.4" x14ac:dyDescent="0.3">
      <c r="A1514" s="189" t="str">
        <f ca="1">IFERROR(__xludf.DUMMYFUNCTION("""COMPUTED_VALUE"""),"PL")</f>
        <v>PL</v>
      </c>
      <c r="B1514" s="195" t="str">
        <f ca="1">IFERROR(__xludf.DUMMYFUNCTION("""COMPUTED_VALUE"""),"Jazz Buitrago")</f>
        <v>Jazz Buitrago</v>
      </c>
      <c r="C1514" s="189">
        <f ca="1">IFERROR(__xludf.DUMMYFUNCTION("""COMPUTED_VALUE"""),13)</f>
        <v>13</v>
      </c>
      <c r="D1514" s="189" t="str">
        <f ca="1">IFERROR(__xludf.DUMMYFUNCTION("""COMPUTED_VALUE"""),"G")</f>
        <v>G</v>
      </c>
      <c r="E1514" s="189" t="str">
        <f ca="1">IFERROR(__xludf.DUMMYFUNCTION("""COMPUTED_VALUE"""),"I")</f>
        <v>I</v>
      </c>
      <c r="F1514" s="189" t="str">
        <f ca="1">IFERROR(__xludf.DUMMYFUNCTION("""COMPUTED_VALUE"""),"S")</f>
        <v>S</v>
      </c>
      <c r="G1514" s="189">
        <f ca="1">IFERROR(__xludf.DUMMYFUNCTION("""COMPUTED_VALUE"""),6)</f>
        <v>6</v>
      </c>
      <c r="H1514" s="196"/>
      <c r="I1514" s="196"/>
      <c r="J1514" s="196"/>
      <c r="K1514" s="196"/>
      <c r="L1514" s="196" t="str">
        <v/>
      </c>
      <c r="M1514" s="196"/>
    </row>
    <row r="1515" spans="1:13" ht="14.4" x14ac:dyDescent="0.3">
      <c r="A1515" s="189" t="str">
        <f ca="1">IFERROR(__xludf.DUMMYFUNCTION("""COMPUTED_VALUE"""),"PL")</f>
        <v>PL</v>
      </c>
      <c r="B1515" s="195" t="str">
        <f ca="1">IFERROR(__xludf.DUMMYFUNCTION("""COMPUTED_VALUE"""),"Connor Manegold")</f>
        <v>Connor Manegold</v>
      </c>
      <c r="C1515" s="189">
        <f ca="1">IFERROR(__xludf.DUMMYFUNCTION("""COMPUTED_VALUE"""),13)</f>
        <v>13</v>
      </c>
      <c r="D1515" s="189" t="str">
        <f ca="1">IFERROR(__xludf.DUMMYFUNCTION("""COMPUTED_VALUE"""),"B")</f>
        <v>B</v>
      </c>
      <c r="E1515" s="189" t="str">
        <f ca="1">IFERROR(__xludf.DUMMYFUNCTION("""COMPUTED_VALUE"""),"I")</f>
        <v>I</v>
      </c>
      <c r="F1515" s="189" t="str">
        <f ca="1">IFERROR(__xludf.DUMMYFUNCTION("""COMPUTED_VALUE"""),"S")</f>
        <v>S</v>
      </c>
      <c r="G1515" s="189">
        <f ca="1">IFERROR(__xludf.DUMMYFUNCTION("""COMPUTED_VALUE"""),6)</f>
        <v>6</v>
      </c>
      <c r="H1515" s="196" t="s">
        <v>637</v>
      </c>
      <c r="I1515" s="196"/>
      <c r="J1515" s="196" t="s">
        <v>29</v>
      </c>
      <c r="K1515" s="196"/>
      <c r="L1515" s="196" t="str">
        <v xml:space="preserve"> 99.05</v>
      </c>
      <c r="M1515" s="196"/>
    </row>
    <row r="1516" spans="1:13" ht="14.4" x14ac:dyDescent="0.3">
      <c r="A1516" s="189" t="str">
        <f ca="1">IFERROR(__xludf.DUMMYFUNCTION("""COMPUTED_VALUE"""),"PL")</f>
        <v>PL</v>
      </c>
      <c r="B1516" s="195" t="str">
        <f ca="1">IFERROR(__xludf.DUMMYFUNCTION("""COMPUTED_VALUE"""),"Henry Kreikemeier")</f>
        <v>Henry Kreikemeier</v>
      </c>
      <c r="C1516" s="189">
        <f ca="1">IFERROR(__xludf.DUMMYFUNCTION("""COMPUTED_VALUE"""),13)</f>
        <v>13</v>
      </c>
      <c r="D1516" s="189" t="str">
        <f ca="1">IFERROR(__xludf.DUMMYFUNCTION("""COMPUTED_VALUE"""),"B")</f>
        <v>B</v>
      </c>
      <c r="E1516" s="189" t="str">
        <f ca="1">IFERROR(__xludf.DUMMYFUNCTION("""COMPUTED_VALUE"""),"I")</f>
        <v>I</v>
      </c>
      <c r="F1516" s="189" t="str">
        <f ca="1">IFERROR(__xludf.DUMMYFUNCTION("""COMPUTED_VALUE"""),"S")</f>
        <v>S</v>
      </c>
      <c r="G1516" s="189">
        <f ca="1">IFERROR(__xludf.DUMMYFUNCTION("""COMPUTED_VALUE"""),6)</f>
        <v>6</v>
      </c>
      <c r="H1516" s="196"/>
      <c r="I1516" s="196"/>
      <c r="J1516" s="196"/>
      <c r="K1516" s="196"/>
      <c r="L1516" s="196" t="str">
        <v/>
      </c>
      <c r="M1516" s="196"/>
    </row>
    <row r="1517" spans="1:13" ht="14.4" x14ac:dyDescent="0.3">
      <c r="A1517" s="189" t="str">
        <f ca="1">IFERROR(__xludf.DUMMYFUNCTION("""COMPUTED_VALUE"""),"PL")</f>
        <v>PL</v>
      </c>
      <c r="B1517" s="195" t="str">
        <f ca="1">IFERROR(__xludf.DUMMYFUNCTION("""COMPUTED_VALUE"""),"Kellan Smith")</f>
        <v>Kellan Smith</v>
      </c>
      <c r="C1517" s="189">
        <f ca="1">IFERROR(__xludf.DUMMYFUNCTION("""COMPUTED_VALUE"""),13)</f>
        <v>13</v>
      </c>
      <c r="D1517" s="189" t="str">
        <f ca="1">IFERROR(__xludf.DUMMYFUNCTION("""COMPUTED_VALUE"""),"B")</f>
        <v>B</v>
      </c>
      <c r="E1517" s="189" t="str">
        <f ca="1">IFERROR(__xludf.DUMMYFUNCTION("""COMPUTED_VALUE"""),"I")</f>
        <v>I</v>
      </c>
      <c r="F1517" s="189" t="str">
        <f ca="1">IFERROR(__xludf.DUMMYFUNCTION("""COMPUTED_VALUE"""),"S")</f>
        <v>S</v>
      </c>
      <c r="G1517" s="189">
        <f ca="1">IFERROR(__xludf.DUMMYFUNCTION("""COMPUTED_VALUE"""),6)</f>
        <v>6</v>
      </c>
      <c r="H1517" s="196"/>
      <c r="I1517" s="196"/>
      <c r="J1517" s="196"/>
      <c r="K1517" s="196"/>
      <c r="L1517" s="196" t="str">
        <v/>
      </c>
      <c r="M1517" s="196"/>
    </row>
    <row r="1518" spans="1:13" ht="14.4" x14ac:dyDescent="0.3">
      <c r="A1518" s="189" t="str">
        <f ca="1">IFERROR(__xludf.DUMMYFUNCTION("""COMPUTED_VALUE"""),"PL")</f>
        <v>PL</v>
      </c>
      <c r="B1518" s="195" t="str">
        <f ca="1">IFERROR(__xludf.DUMMYFUNCTION("""COMPUTED_VALUE"""),"Taggart Schuerfeld")</f>
        <v>Taggart Schuerfeld</v>
      </c>
      <c r="C1518" s="189">
        <f ca="1">IFERROR(__xludf.DUMMYFUNCTION("""COMPUTED_VALUE"""),13)</f>
        <v>13</v>
      </c>
      <c r="D1518" s="189" t="str">
        <f ca="1">IFERROR(__xludf.DUMMYFUNCTION("""COMPUTED_VALUE"""),"B")</f>
        <v>B</v>
      </c>
      <c r="E1518" s="189" t="str">
        <f ca="1">IFERROR(__xludf.DUMMYFUNCTION("""COMPUTED_VALUE"""),"I")</f>
        <v>I</v>
      </c>
      <c r="F1518" s="189" t="str">
        <f ca="1">IFERROR(__xludf.DUMMYFUNCTION("""COMPUTED_VALUE"""),"S")</f>
        <v>S</v>
      </c>
      <c r="G1518" s="189">
        <f ca="1">IFERROR(__xludf.DUMMYFUNCTION("""COMPUTED_VALUE"""),6)</f>
        <v>6</v>
      </c>
      <c r="H1518" s="196"/>
      <c r="I1518" s="196"/>
      <c r="J1518" s="196"/>
      <c r="K1518" s="196"/>
      <c r="L1518" s="196" t="str">
        <v/>
      </c>
      <c r="M1518" s="196"/>
    </row>
    <row r="1519" spans="1:13" ht="14.4" x14ac:dyDescent="0.3">
      <c r="A1519" s="189" t="str">
        <f ca="1">IFERROR(__xludf.DUMMYFUNCTION("""COMPUTED_VALUE"""),"PL")</f>
        <v>PL</v>
      </c>
      <c r="B1519" s="195" t="str">
        <f ca="1">IFERROR(__xludf.DUMMYFUNCTION("""COMPUTED_VALUE"""),"Annabel Manegold")</f>
        <v>Annabel Manegold</v>
      </c>
      <c r="C1519" s="189">
        <f ca="1">IFERROR(__xludf.DUMMYFUNCTION("""COMPUTED_VALUE"""),11)</f>
        <v>11</v>
      </c>
      <c r="D1519" s="189" t="str">
        <f ca="1">IFERROR(__xludf.DUMMYFUNCTION("""COMPUTED_VALUE"""),"G")</f>
        <v>G</v>
      </c>
      <c r="E1519" s="189" t="str">
        <f ca="1">IFERROR(__xludf.DUMMYFUNCTION("""COMPUTED_VALUE"""),"J")</f>
        <v>J</v>
      </c>
      <c r="F1519" s="189" t="str">
        <f ca="1">IFERROR(__xludf.DUMMYFUNCTION("""COMPUTED_VALUE"""),"I")</f>
        <v>I</v>
      </c>
      <c r="G1519" s="189">
        <f ca="1">IFERROR(__xludf.DUMMYFUNCTION("""COMPUTED_VALUE"""),6)</f>
        <v>6</v>
      </c>
      <c r="H1519" s="196" t="s">
        <v>638</v>
      </c>
      <c r="I1519" s="196"/>
      <c r="J1519" s="196" t="s">
        <v>29</v>
      </c>
      <c r="K1519" s="196"/>
      <c r="L1519" s="196" t="str">
        <v xml:space="preserve"> 54.25</v>
      </c>
      <c r="M1519" s="196"/>
    </row>
    <row r="1520" spans="1:13" ht="14.4" x14ac:dyDescent="0.3">
      <c r="A1520" s="189" t="str">
        <f ca="1">IFERROR(__xludf.DUMMYFUNCTION("""COMPUTED_VALUE"""),"PL")</f>
        <v>PL</v>
      </c>
      <c r="B1520" s="195" t="str">
        <f ca="1">IFERROR(__xludf.DUMMYFUNCTION("""COMPUTED_VALUE"""),"Charlotte Hill")</f>
        <v>Charlotte Hill</v>
      </c>
      <c r="C1520" s="189">
        <f ca="1">IFERROR(__xludf.DUMMYFUNCTION("""COMPUTED_VALUE"""),12)</f>
        <v>12</v>
      </c>
      <c r="D1520" s="189" t="str">
        <f ca="1">IFERROR(__xludf.DUMMYFUNCTION("""COMPUTED_VALUE"""),"G")</f>
        <v>G</v>
      </c>
      <c r="E1520" s="189" t="str">
        <f ca="1">IFERROR(__xludf.DUMMYFUNCTION("""COMPUTED_VALUE"""),"J")</f>
        <v>J</v>
      </c>
      <c r="F1520" s="189" t="str">
        <f ca="1">IFERROR(__xludf.DUMMYFUNCTION("""COMPUTED_VALUE"""),"I")</f>
        <v>I</v>
      </c>
      <c r="G1520" s="189">
        <f ca="1">IFERROR(__xludf.DUMMYFUNCTION("""COMPUTED_VALUE"""),6)</f>
        <v>6</v>
      </c>
      <c r="H1520" s="196" t="s">
        <v>639</v>
      </c>
      <c r="I1520" s="196"/>
      <c r="J1520" s="196" t="s">
        <v>29</v>
      </c>
      <c r="K1520" s="196"/>
      <c r="L1520" s="196" t="str">
        <v xml:space="preserve"> 111.65</v>
      </c>
      <c r="M1520" s="196"/>
    </row>
    <row r="1521" spans="1:13" ht="14.4" x14ac:dyDescent="0.3">
      <c r="A1521" s="189" t="str">
        <f ca="1">IFERROR(__xludf.DUMMYFUNCTION("""COMPUTED_VALUE"""),"PL")</f>
        <v>PL</v>
      </c>
      <c r="B1521" s="195" t="str">
        <f ca="1">IFERROR(__xludf.DUMMYFUNCTION("""COMPUTED_VALUE"""),"Kerrington Supple")</f>
        <v>Kerrington Supple</v>
      </c>
      <c r="C1521" s="189">
        <f ca="1">IFERROR(__xludf.DUMMYFUNCTION("""COMPUTED_VALUE"""),12)</f>
        <v>12</v>
      </c>
      <c r="D1521" s="189" t="str">
        <f ca="1">IFERROR(__xludf.DUMMYFUNCTION("""COMPUTED_VALUE"""),"G")</f>
        <v>G</v>
      </c>
      <c r="E1521" s="189" t="str">
        <f ca="1">IFERROR(__xludf.DUMMYFUNCTION("""COMPUTED_VALUE"""),"J")</f>
        <v>J</v>
      </c>
      <c r="F1521" s="189" t="str">
        <f ca="1">IFERROR(__xludf.DUMMYFUNCTION("""COMPUTED_VALUE"""),"I")</f>
        <v>I</v>
      </c>
      <c r="G1521" s="189">
        <f ca="1">IFERROR(__xludf.DUMMYFUNCTION("""COMPUTED_VALUE"""),6)</f>
        <v>6</v>
      </c>
      <c r="H1521" s="196" t="s">
        <v>640</v>
      </c>
      <c r="I1521" s="196"/>
      <c r="J1521" s="196" t="s">
        <v>29</v>
      </c>
      <c r="K1521" s="196"/>
      <c r="L1521" s="196" t="str">
        <v xml:space="preserve"> 87.00</v>
      </c>
      <c r="M1521" s="196"/>
    </row>
    <row r="1522" spans="1:13" ht="14.4" x14ac:dyDescent="0.3">
      <c r="A1522" s="189" t="str">
        <f ca="1">IFERROR(__xludf.DUMMYFUNCTION("""COMPUTED_VALUE"""),"PL")</f>
        <v>PL</v>
      </c>
      <c r="B1522" s="195" t="str">
        <f ca="1">IFERROR(__xludf.DUMMYFUNCTION("""COMPUTED_VALUE"""),"Lucy McArdle")</f>
        <v>Lucy McArdle</v>
      </c>
      <c r="C1522" s="189">
        <f ca="1">IFERROR(__xludf.DUMMYFUNCTION("""COMPUTED_VALUE"""),11)</f>
        <v>11</v>
      </c>
      <c r="D1522" s="189" t="str">
        <f ca="1">IFERROR(__xludf.DUMMYFUNCTION("""COMPUTED_VALUE"""),"G")</f>
        <v>G</v>
      </c>
      <c r="E1522" s="189" t="str">
        <f ca="1">IFERROR(__xludf.DUMMYFUNCTION("""COMPUTED_VALUE"""),"J")</f>
        <v>J</v>
      </c>
      <c r="F1522" s="189" t="str">
        <f ca="1">IFERROR(__xludf.DUMMYFUNCTION("""COMPUTED_VALUE"""),"I")</f>
        <v>I</v>
      </c>
      <c r="G1522" s="189">
        <f ca="1">IFERROR(__xludf.DUMMYFUNCTION("""COMPUTED_VALUE"""),6)</f>
        <v>6</v>
      </c>
      <c r="H1522" s="196" t="s">
        <v>198</v>
      </c>
      <c r="I1522" s="196"/>
      <c r="J1522" s="196" t="s">
        <v>29</v>
      </c>
      <c r="K1522" s="196"/>
      <c r="L1522" s="196" t="str">
        <v xml:space="preserve"> 64.80</v>
      </c>
      <c r="M1522" s="196"/>
    </row>
    <row r="1523" spans="1:13" ht="14.4" x14ac:dyDescent="0.3">
      <c r="A1523" s="189" t="str">
        <f ca="1">IFERROR(__xludf.DUMMYFUNCTION("""COMPUTED_VALUE"""),"PL")</f>
        <v>PL</v>
      </c>
      <c r="B1523" s="195" t="str">
        <f ca="1">IFERROR(__xludf.DUMMYFUNCTION("""COMPUTED_VALUE"""),"Cormac Henderson")</f>
        <v>Cormac Henderson</v>
      </c>
      <c r="C1523" s="189">
        <f ca="1">IFERROR(__xludf.DUMMYFUNCTION("""COMPUTED_VALUE"""),11)</f>
        <v>11</v>
      </c>
      <c r="D1523" s="189" t="str">
        <f ca="1">IFERROR(__xludf.DUMMYFUNCTION("""COMPUTED_VALUE"""),"B")</f>
        <v>B</v>
      </c>
      <c r="E1523" s="189" t="str">
        <f ca="1">IFERROR(__xludf.DUMMYFUNCTION("""COMPUTED_VALUE"""),"J")</f>
        <v>J</v>
      </c>
      <c r="F1523" s="189" t="str">
        <f ca="1">IFERROR(__xludf.DUMMYFUNCTION("""COMPUTED_VALUE"""),"I")</f>
        <v>I</v>
      </c>
      <c r="G1523" s="189">
        <f ca="1">IFERROR(__xludf.DUMMYFUNCTION("""COMPUTED_VALUE"""),6)</f>
        <v>6</v>
      </c>
      <c r="H1523" s="196" t="s">
        <v>641</v>
      </c>
      <c r="I1523" s="196"/>
      <c r="J1523" s="196" t="s">
        <v>29</v>
      </c>
      <c r="K1523" s="196"/>
      <c r="L1523" s="196" t="str">
        <v xml:space="preserve"> 90.65</v>
      </c>
      <c r="M1523" s="196"/>
    </row>
    <row r="1524" spans="1:13" ht="14.4" x14ac:dyDescent="0.3">
      <c r="A1524" s="189" t="str">
        <f ca="1">IFERROR(__xludf.DUMMYFUNCTION("""COMPUTED_VALUE"""),"PL")</f>
        <v>PL</v>
      </c>
      <c r="B1524" s="195" t="str">
        <f ca="1">IFERROR(__xludf.DUMMYFUNCTION("""COMPUTED_VALUE"""),"Duncan Carr")</f>
        <v>Duncan Carr</v>
      </c>
      <c r="C1524" s="189">
        <f ca="1">IFERROR(__xludf.DUMMYFUNCTION("""COMPUTED_VALUE"""),11)</f>
        <v>11</v>
      </c>
      <c r="D1524" s="189" t="str">
        <f ca="1">IFERROR(__xludf.DUMMYFUNCTION("""COMPUTED_VALUE"""),"B")</f>
        <v>B</v>
      </c>
      <c r="E1524" s="189" t="str">
        <f ca="1">IFERROR(__xludf.DUMMYFUNCTION("""COMPUTED_VALUE"""),"J")</f>
        <v>J</v>
      </c>
      <c r="F1524" s="189" t="str">
        <f ca="1">IFERROR(__xludf.DUMMYFUNCTION("""COMPUTED_VALUE"""),"I")</f>
        <v>I</v>
      </c>
      <c r="G1524" s="189">
        <f ca="1">IFERROR(__xludf.DUMMYFUNCTION("""COMPUTED_VALUE"""),6)</f>
        <v>6</v>
      </c>
      <c r="H1524" s="196"/>
      <c r="I1524" s="196"/>
      <c r="J1524" s="196"/>
      <c r="K1524" s="196"/>
      <c r="L1524" s="196" t="str">
        <v/>
      </c>
      <c r="M1524" s="196"/>
    </row>
    <row r="1525" spans="1:13" ht="14.4" x14ac:dyDescent="0.3">
      <c r="A1525" s="189" t="str">
        <f ca="1">IFERROR(__xludf.DUMMYFUNCTION("""COMPUTED_VALUE"""),"PL")</f>
        <v>PL</v>
      </c>
      <c r="B1525" s="195" t="str">
        <f ca="1">IFERROR(__xludf.DUMMYFUNCTION("""COMPUTED_VALUE"""),"Emmett Wiedemann")</f>
        <v>Emmett Wiedemann</v>
      </c>
      <c r="C1525" s="189">
        <f ca="1">IFERROR(__xludf.DUMMYFUNCTION("""COMPUTED_VALUE"""),12)</f>
        <v>12</v>
      </c>
      <c r="D1525" s="189" t="str">
        <f ca="1">IFERROR(__xludf.DUMMYFUNCTION("""COMPUTED_VALUE"""),"B")</f>
        <v>B</v>
      </c>
      <c r="E1525" s="189" t="str">
        <f ca="1">IFERROR(__xludf.DUMMYFUNCTION("""COMPUTED_VALUE"""),"J")</f>
        <v>J</v>
      </c>
      <c r="F1525" s="189" t="str">
        <f ca="1">IFERROR(__xludf.DUMMYFUNCTION("""COMPUTED_VALUE"""),"I")</f>
        <v>I</v>
      </c>
      <c r="G1525" s="189">
        <f ca="1">IFERROR(__xludf.DUMMYFUNCTION("""COMPUTED_VALUE"""),6)</f>
        <v>6</v>
      </c>
      <c r="H1525" s="196" t="s">
        <v>642</v>
      </c>
      <c r="I1525" s="196"/>
      <c r="J1525" s="196" t="s">
        <v>29</v>
      </c>
      <c r="K1525" s="196"/>
      <c r="L1525" s="196" t="str">
        <v xml:space="preserve"> 79.15</v>
      </c>
      <c r="M1525" s="196"/>
    </row>
    <row r="1526" spans="1:13" ht="14.4" x14ac:dyDescent="0.3">
      <c r="A1526" s="189" t="str">
        <f ca="1">IFERROR(__xludf.DUMMYFUNCTION("""COMPUTED_VALUE"""),"PL")</f>
        <v>PL</v>
      </c>
      <c r="B1526" s="195" t="str">
        <f ca="1">IFERROR(__xludf.DUMMYFUNCTION("""COMPUTED_VALUE"""),"Gabriel Mesmer")</f>
        <v>Gabriel Mesmer</v>
      </c>
      <c r="C1526" s="189">
        <f ca="1">IFERROR(__xludf.DUMMYFUNCTION("""COMPUTED_VALUE"""),12)</f>
        <v>12</v>
      </c>
      <c r="D1526" s="189" t="str">
        <f ca="1">IFERROR(__xludf.DUMMYFUNCTION("""COMPUTED_VALUE"""),"B")</f>
        <v>B</v>
      </c>
      <c r="E1526" s="189" t="str">
        <f ca="1">IFERROR(__xludf.DUMMYFUNCTION("""COMPUTED_VALUE"""),"J")</f>
        <v>J</v>
      </c>
      <c r="F1526" s="189" t="str">
        <f ca="1">IFERROR(__xludf.DUMMYFUNCTION("""COMPUTED_VALUE"""),"I")</f>
        <v>I</v>
      </c>
      <c r="G1526" s="189">
        <f ca="1">IFERROR(__xludf.DUMMYFUNCTION("""COMPUTED_VALUE"""),6)</f>
        <v>6</v>
      </c>
      <c r="H1526" s="196"/>
      <c r="I1526" s="196"/>
      <c r="J1526" s="196"/>
      <c r="K1526" s="196"/>
      <c r="L1526" s="196" t="str">
        <v/>
      </c>
      <c r="M1526" s="196"/>
    </row>
    <row r="1527" spans="1:13" ht="14.4" x14ac:dyDescent="0.3">
      <c r="A1527" s="189" t="str">
        <f ca="1">IFERROR(__xludf.DUMMYFUNCTION("""COMPUTED_VALUE"""),"PL")</f>
        <v>PL</v>
      </c>
      <c r="B1527" s="195" t="str">
        <f ca="1">IFERROR(__xludf.DUMMYFUNCTION("""COMPUTED_VALUE"""),"Mason Iams")</f>
        <v>Mason Iams</v>
      </c>
      <c r="C1527" s="189">
        <f ca="1">IFERROR(__xludf.DUMMYFUNCTION("""COMPUTED_VALUE"""),12)</f>
        <v>12</v>
      </c>
      <c r="D1527" s="189" t="str">
        <f ca="1">IFERROR(__xludf.DUMMYFUNCTION("""COMPUTED_VALUE"""),"B")</f>
        <v>B</v>
      </c>
      <c r="E1527" s="189" t="str">
        <f ca="1">IFERROR(__xludf.DUMMYFUNCTION("""COMPUTED_VALUE"""),"J")</f>
        <v>J</v>
      </c>
      <c r="F1527" s="189" t="str">
        <f ca="1">IFERROR(__xludf.DUMMYFUNCTION("""COMPUTED_VALUE"""),"I")</f>
        <v>I</v>
      </c>
      <c r="G1527" s="189">
        <f ca="1">IFERROR(__xludf.DUMMYFUNCTION("""COMPUTED_VALUE"""),6)</f>
        <v>6</v>
      </c>
      <c r="H1527" s="196"/>
      <c r="I1527" s="196"/>
      <c r="J1527" s="196"/>
      <c r="K1527" s="196"/>
      <c r="L1527" s="196" t="str">
        <v/>
      </c>
      <c r="M1527" s="196"/>
    </row>
    <row r="1528" spans="1:13" ht="14.4" x14ac:dyDescent="0.3">
      <c r="A1528" s="189" t="str">
        <f ca="1">IFERROR(__xludf.DUMMYFUNCTION("""COMPUTED_VALUE"""),"PL")</f>
        <v>PL</v>
      </c>
      <c r="B1528" s="195" t="str">
        <f ca="1">IFERROR(__xludf.DUMMYFUNCTION("""COMPUTED_VALUE"""),"Miller Supple")</f>
        <v>Miller Supple</v>
      </c>
      <c r="C1528" s="189">
        <f ca="1">IFERROR(__xludf.DUMMYFUNCTION("""COMPUTED_VALUE"""),11)</f>
        <v>11</v>
      </c>
      <c r="D1528" s="189" t="str">
        <f ca="1">IFERROR(__xludf.DUMMYFUNCTION("""COMPUTED_VALUE"""),"B")</f>
        <v>B</v>
      </c>
      <c r="E1528" s="189" t="str">
        <f ca="1">IFERROR(__xludf.DUMMYFUNCTION("""COMPUTED_VALUE"""),"J")</f>
        <v>J</v>
      </c>
      <c r="F1528" s="189" t="str">
        <f ca="1">IFERROR(__xludf.DUMMYFUNCTION("""COMPUTED_VALUE"""),"I")</f>
        <v>I</v>
      </c>
      <c r="G1528" s="189">
        <f ca="1">IFERROR(__xludf.DUMMYFUNCTION("""COMPUTED_VALUE"""),6)</f>
        <v>6</v>
      </c>
      <c r="H1528" s="196" t="s">
        <v>643</v>
      </c>
      <c r="I1528" s="196"/>
      <c r="J1528" s="196" t="s">
        <v>29</v>
      </c>
      <c r="K1528" s="196"/>
      <c r="L1528" s="196" t="str">
        <v xml:space="preserve"> 88.25</v>
      </c>
      <c r="M1528" s="196"/>
    </row>
    <row r="1529" spans="1:13" ht="14.4" x14ac:dyDescent="0.3">
      <c r="A1529" s="189" t="str">
        <f ca="1">IFERROR(__xludf.DUMMYFUNCTION("""COMPUTED_VALUE"""),"PL")</f>
        <v>PL</v>
      </c>
      <c r="B1529" s="195" t="str">
        <f ca="1">IFERROR(__xludf.DUMMYFUNCTION("""COMPUTED_VALUE"""),"Raphael Mesmer")</f>
        <v>Raphael Mesmer</v>
      </c>
      <c r="C1529" s="189">
        <f ca="1">IFERROR(__xludf.DUMMYFUNCTION("""COMPUTED_VALUE"""),12)</f>
        <v>12</v>
      </c>
      <c r="D1529" s="189" t="str">
        <f ca="1">IFERROR(__xludf.DUMMYFUNCTION("""COMPUTED_VALUE"""),"B")</f>
        <v>B</v>
      </c>
      <c r="E1529" s="189" t="str">
        <f ca="1">IFERROR(__xludf.DUMMYFUNCTION("""COMPUTED_VALUE"""),"J")</f>
        <v>J</v>
      </c>
      <c r="F1529" s="189" t="str">
        <f ca="1">IFERROR(__xludf.DUMMYFUNCTION("""COMPUTED_VALUE"""),"I")</f>
        <v>I</v>
      </c>
      <c r="G1529" s="189">
        <f ca="1">IFERROR(__xludf.DUMMYFUNCTION("""COMPUTED_VALUE"""),6)</f>
        <v>6</v>
      </c>
      <c r="H1529" s="196"/>
      <c r="I1529" s="196"/>
      <c r="J1529" s="196"/>
      <c r="K1529" s="196"/>
      <c r="L1529" s="196" t="str">
        <v/>
      </c>
      <c r="M1529" s="196"/>
    </row>
    <row r="1530" spans="1:13" ht="14.4" x14ac:dyDescent="0.3">
      <c r="A1530" s="189" t="str">
        <f ca="1">IFERROR(__xludf.DUMMYFUNCTION("""COMPUTED_VALUE"""),"PL")</f>
        <v>PL</v>
      </c>
      <c r="B1530" s="195" t="str">
        <f ca="1">IFERROR(__xludf.DUMMYFUNCTION("""COMPUTED_VALUE"""),"Emma Hill")</f>
        <v>Emma Hill</v>
      </c>
      <c r="C1530" s="189">
        <f ca="1">IFERROR(__xludf.DUMMYFUNCTION("""COMPUTED_VALUE"""),16)</f>
        <v>16</v>
      </c>
      <c r="D1530" s="189" t="str">
        <f ca="1">IFERROR(__xludf.DUMMYFUNCTION("""COMPUTED_VALUE"""),"G")</f>
        <v>G</v>
      </c>
      <c r="E1530" s="189" t="str">
        <f ca="1">IFERROR(__xludf.DUMMYFUNCTION("""COMPUTED_VALUE"""),"S")</f>
        <v>S</v>
      </c>
      <c r="F1530" s="189" t="str">
        <f ca="1">IFERROR(__xludf.DUMMYFUNCTION("""COMPUTED_VALUE"""),"S")</f>
        <v>S</v>
      </c>
      <c r="G1530" s="189">
        <f ca="1">IFERROR(__xludf.DUMMYFUNCTION("""COMPUTED_VALUE"""),6)</f>
        <v>6</v>
      </c>
      <c r="H1530" s="196" t="s">
        <v>644</v>
      </c>
      <c r="I1530" s="196"/>
      <c r="J1530" s="196" t="s">
        <v>29</v>
      </c>
      <c r="K1530" s="196"/>
      <c r="L1530" s="196" t="str">
        <v xml:space="preserve"> 159.10</v>
      </c>
      <c r="M1530" s="196"/>
    </row>
    <row r="1531" spans="1:13" ht="14.4" x14ac:dyDescent="0.3">
      <c r="A1531" s="189" t="str">
        <f ca="1">IFERROR(__xludf.DUMMYFUNCTION("""COMPUTED_VALUE"""),"PL")</f>
        <v>PL</v>
      </c>
      <c r="B1531" s="195" t="str">
        <f ca="1">IFERROR(__xludf.DUMMYFUNCTION("""COMPUTED_VALUE"""),"Julia Kaldahl")</f>
        <v>Julia Kaldahl</v>
      </c>
      <c r="C1531" s="189">
        <f ca="1">IFERROR(__xludf.DUMMYFUNCTION("""COMPUTED_VALUE"""),16)</f>
        <v>16</v>
      </c>
      <c r="D1531" s="189" t="str">
        <f ca="1">IFERROR(__xludf.DUMMYFUNCTION("""COMPUTED_VALUE"""),"G")</f>
        <v>G</v>
      </c>
      <c r="E1531" s="189" t="str">
        <f ca="1">IFERROR(__xludf.DUMMYFUNCTION("""COMPUTED_VALUE"""),"S")</f>
        <v>S</v>
      </c>
      <c r="F1531" s="189" t="str">
        <f ca="1">IFERROR(__xludf.DUMMYFUNCTION("""COMPUTED_VALUE"""),"S")</f>
        <v>S</v>
      </c>
      <c r="G1531" s="189">
        <f ca="1">IFERROR(__xludf.DUMMYFUNCTION("""COMPUTED_VALUE"""),6)</f>
        <v>6</v>
      </c>
      <c r="H1531" s="196"/>
      <c r="I1531" s="196"/>
      <c r="J1531" s="196"/>
      <c r="K1531" s="196"/>
      <c r="L1531" s="196" t="str">
        <v/>
      </c>
      <c r="M1531" s="196"/>
    </row>
    <row r="1532" spans="1:13" ht="14.4" x14ac:dyDescent="0.3">
      <c r="A1532" s="189" t="str">
        <f ca="1">IFERROR(__xludf.DUMMYFUNCTION("""COMPUTED_VALUE"""),"PL")</f>
        <v>PL</v>
      </c>
      <c r="B1532" s="195" t="str">
        <f ca="1">IFERROR(__xludf.DUMMYFUNCTION("""COMPUTED_VALUE"""),"McCauley Masley")</f>
        <v>McCauley Masley</v>
      </c>
      <c r="C1532" s="189">
        <f ca="1">IFERROR(__xludf.DUMMYFUNCTION("""COMPUTED_VALUE"""),15)</f>
        <v>15</v>
      </c>
      <c r="D1532" s="189" t="str">
        <f ca="1">IFERROR(__xludf.DUMMYFUNCTION("""COMPUTED_VALUE"""),"G")</f>
        <v>G</v>
      </c>
      <c r="E1532" s="189" t="str">
        <f ca="1">IFERROR(__xludf.DUMMYFUNCTION("""COMPUTED_VALUE"""),"S")</f>
        <v>S</v>
      </c>
      <c r="F1532" s="189" t="str">
        <f ca="1">IFERROR(__xludf.DUMMYFUNCTION("""COMPUTED_VALUE"""),"S")</f>
        <v>S</v>
      </c>
      <c r="G1532" s="189">
        <f ca="1">IFERROR(__xludf.DUMMYFUNCTION("""COMPUTED_VALUE"""),6)</f>
        <v>6</v>
      </c>
      <c r="H1532" s="196"/>
      <c r="I1532" s="196"/>
      <c r="J1532" s="196"/>
      <c r="K1532" s="196"/>
      <c r="L1532" s="196" t="str">
        <v/>
      </c>
      <c r="M1532" s="196"/>
    </row>
    <row r="1533" spans="1:13" ht="14.4" x14ac:dyDescent="0.3">
      <c r="A1533" s="189" t="str">
        <f ca="1">IFERROR(__xludf.DUMMYFUNCTION("""COMPUTED_VALUE"""),"PL")</f>
        <v>PL</v>
      </c>
      <c r="B1533" s="195" t="str">
        <f ca="1">IFERROR(__xludf.DUMMYFUNCTION("""COMPUTED_VALUE"""),"Tess Galway")</f>
        <v>Tess Galway</v>
      </c>
      <c r="C1533" s="189">
        <f ca="1">IFERROR(__xludf.DUMMYFUNCTION("""COMPUTED_VALUE"""),17)</f>
        <v>17</v>
      </c>
      <c r="D1533" s="189" t="str">
        <f ca="1">IFERROR(__xludf.DUMMYFUNCTION("""COMPUTED_VALUE"""),"G")</f>
        <v>G</v>
      </c>
      <c r="E1533" s="189" t="str">
        <f ca="1">IFERROR(__xludf.DUMMYFUNCTION("""COMPUTED_VALUE"""),"S")</f>
        <v>S</v>
      </c>
      <c r="F1533" s="189" t="str">
        <f ca="1">IFERROR(__xludf.DUMMYFUNCTION("""COMPUTED_VALUE"""),"S")</f>
        <v>S</v>
      </c>
      <c r="G1533" s="189">
        <f ca="1">IFERROR(__xludf.DUMMYFUNCTION("""COMPUTED_VALUE"""),6)</f>
        <v>6</v>
      </c>
      <c r="H1533" s="196"/>
      <c r="I1533" s="196"/>
      <c r="J1533" s="196"/>
      <c r="K1533" s="196"/>
      <c r="L1533" s="196" t="str">
        <v/>
      </c>
      <c r="M1533" s="196"/>
    </row>
    <row r="1534" spans="1:13" ht="14.4" x14ac:dyDescent="0.3">
      <c r="A1534" s="189" t="str">
        <f ca="1">IFERROR(__xludf.DUMMYFUNCTION("""COMPUTED_VALUE"""),"PL")</f>
        <v>PL</v>
      </c>
      <c r="B1534" s="195" t="str">
        <f ca="1">IFERROR(__xludf.DUMMYFUNCTION("""COMPUTED_VALUE"""),"Joey Liller")</f>
        <v>Joey Liller</v>
      </c>
      <c r="C1534" s="189">
        <f ca="1">IFERROR(__xludf.DUMMYFUNCTION("""COMPUTED_VALUE"""),17)</f>
        <v>17</v>
      </c>
      <c r="D1534" s="189" t="str">
        <f ca="1">IFERROR(__xludf.DUMMYFUNCTION("""COMPUTED_VALUE"""),"B")</f>
        <v>B</v>
      </c>
      <c r="E1534" s="189" t="str">
        <f ca="1">IFERROR(__xludf.DUMMYFUNCTION("""COMPUTED_VALUE"""),"S")</f>
        <v>S</v>
      </c>
      <c r="F1534" s="189" t="str">
        <f ca="1">IFERROR(__xludf.DUMMYFUNCTION("""COMPUTED_VALUE"""),"S")</f>
        <v>S</v>
      </c>
      <c r="G1534" s="189">
        <f ca="1">IFERROR(__xludf.DUMMYFUNCTION("""COMPUTED_VALUE"""),6)</f>
        <v>6</v>
      </c>
      <c r="H1534" s="196" t="s">
        <v>645</v>
      </c>
      <c r="I1534" s="196"/>
      <c r="J1534" s="196" t="s">
        <v>29</v>
      </c>
      <c r="K1534" s="196"/>
      <c r="L1534" s="196" t="str">
        <v xml:space="preserve"> 173.60</v>
      </c>
      <c r="M1534" s="196"/>
    </row>
    <row r="1535" spans="1:13" ht="14.4" x14ac:dyDescent="0.3">
      <c r="A1535" s="189" t="str">
        <f ca="1">IFERROR(__xludf.DUMMYFUNCTION("""COMPUTED_VALUE"""),"PL")</f>
        <v>PL</v>
      </c>
      <c r="B1535" s="195" t="str">
        <f ca="1">IFERROR(__xludf.DUMMYFUNCTION("""COMPUTED_VALUE"""),"Owen Henderson")</f>
        <v>Owen Henderson</v>
      </c>
      <c r="C1535" s="189">
        <f ca="1">IFERROR(__xludf.DUMMYFUNCTION("""COMPUTED_VALUE"""),18)</f>
        <v>18</v>
      </c>
      <c r="D1535" s="189" t="str">
        <f ca="1">IFERROR(__xludf.DUMMYFUNCTION("""COMPUTED_VALUE"""),"B")</f>
        <v>B</v>
      </c>
      <c r="E1535" s="189" t="str">
        <f ca="1">IFERROR(__xludf.DUMMYFUNCTION("""COMPUTED_VALUE"""),"S")</f>
        <v>S</v>
      </c>
      <c r="F1535" s="189" t="str">
        <f ca="1">IFERROR(__xludf.DUMMYFUNCTION("""COMPUTED_VALUE"""),"S")</f>
        <v>S</v>
      </c>
      <c r="G1535" s="189">
        <f ca="1">IFERROR(__xludf.DUMMYFUNCTION("""COMPUTED_VALUE"""),6)</f>
        <v>6</v>
      </c>
      <c r="H1535" s="196" t="s">
        <v>646</v>
      </c>
      <c r="I1535" s="196"/>
      <c r="J1535" s="196" t="s">
        <v>29</v>
      </c>
      <c r="K1535" s="196"/>
      <c r="L1535" s="196" t="str">
        <v xml:space="preserve"> 154.70</v>
      </c>
      <c r="M1535" s="196"/>
    </row>
    <row r="1536" spans="1:13" ht="14.4" x14ac:dyDescent="0.3">
      <c r="A1536" s="189" t="str">
        <f ca="1">IFERROR(__xludf.DUMMYFUNCTION("""COMPUTED_VALUE"""),"R")</f>
        <v>R</v>
      </c>
      <c r="B1536" s="195" t="str">
        <f ca="1">IFERROR(__xludf.DUMMYFUNCTION("""COMPUTED_VALUE"""),"Addison Prunty")</f>
        <v>Addison Prunty</v>
      </c>
      <c r="C1536" s="189">
        <f ca="1">IFERROR(__xludf.DUMMYFUNCTION("""COMPUTED_VALUE"""),10)</f>
        <v>10</v>
      </c>
      <c r="D1536" s="189" t="str">
        <f ca="1">IFERROR(__xludf.DUMMYFUNCTION("""COMPUTED_VALUE"""),"G")</f>
        <v>G</v>
      </c>
      <c r="E1536" s="189" t="str">
        <f ca="1">IFERROR(__xludf.DUMMYFUNCTION("""COMPUTED_VALUE"""),"F")</f>
        <v>F</v>
      </c>
      <c r="F1536" s="189" t="str">
        <f ca="1">IFERROR(__xludf.DUMMYFUNCTION("""COMPUTED_VALUE"""),"J")</f>
        <v>J</v>
      </c>
      <c r="G1536" s="189">
        <f ca="1">IFERROR(__xludf.DUMMYFUNCTION("""COMPUTED_VALUE"""),5)</f>
        <v>5</v>
      </c>
      <c r="H1536" s="196" t="s">
        <v>296</v>
      </c>
      <c r="I1536" s="196"/>
      <c r="J1536" s="196" t="s">
        <v>29</v>
      </c>
      <c r="K1536" s="196"/>
      <c r="L1536" s="196" t="str">
        <v xml:space="preserve"> 36.10</v>
      </c>
      <c r="M1536" s="196"/>
    </row>
    <row r="1537" spans="1:13" ht="14.4" x14ac:dyDescent="0.3">
      <c r="A1537" s="189" t="str">
        <f ca="1">IFERROR(__xludf.DUMMYFUNCTION("""COMPUTED_VALUE"""),"R")</f>
        <v>R</v>
      </c>
      <c r="B1537" s="195" t="str">
        <f ca="1">IFERROR(__xludf.DUMMYFUNCTION("""COMPUTED_VALUE"""),"Adelaide Bergmans")</f>
        <v>Adelaide Bergmans</v>
      </c>
      <c r="C1537" s="189">
        <f ca="1">IFERROR(__xludf.DUMMYFUNCTION("""COMPUTED_VALUE"""),10)</f>
        <v>10</v>
      </c>
      <c r="D1537" s="189" t="str">
        <f ca="1">IFERROR(__xludf.DUMMYFUNCTION("""COMPUTED_VALUE"""),"G")</f>
        <v>G</v>
      </c>
      <c r="E1537" s="189" t="str">
        <f ca="1">IFERROR(__xludf.DUMMYFUNCTION("""COMPUTED_VALUE"""),"F")</f>
        <v>F</v>
      </c>
      <c r="F1537" s="189" t="str">
        <f ca="1">IFERROR(__xludf.DUMMYFUNCTION("""COMPUTED_VALUE"""),"J")</f>
        <v>J</v>
      </c>
      <c r="G1537" s="189">
        <f ca="1">IFERROR(__xludf.DUMMYFUNCTION("""COMPUTED_VALUE"""),5)</f>
        <v>5</v>
      </c>
      <c r="H1537" s="196" t="s">
        <v>348</v>
      </c>
      <c r="I1537" s="196"/>
      <c r="J1537" s="196" t="s">
        <v>29</v>
      </c>
      <c r="K1537" s="196"/>
      <c r="L1537" s="196" t="str">
        <v xml:space="preserve"> 40.30</v>
      </c>
      <c r="M1537" s="196"/>
    </row>
    <row r="1538" spans="1:13" ht="14.4" x14ac:dyDescent="0.3">
      <c r="A1538" s="189" t="str">
        <f ca="1">IFERROR(__xludf.DUMMYFUNCTION("""COMPUTED_VALUE"""),"R")</f>
        <v>R</v>
      </c>
      <c r="B1538" s="195" t="str">
        <f ca="1">IFERROR(__xludf.DUMMYFUNCTION("""COMPUTED_VALUE"""),"Alice Beaudoin")</f>
        <v>Alice Beaudoin</v>
      </c>
      <c r="C1538" s="189">
        <f ca="1">IFERROR(__xludf.DUMMYFUNCTION("""COMPUTED_VALUE"""),7)</f>
        <v>7</v>
      </c>
      <c r="D1538" s="189" t="str">
        <f ca="1">IFERROR(__xludf.DUMMYFUNCTION("""COMPUTED_VALUE"""),"G")</f>
        <v>G</v>
      </c>
      <c r="E1538" s="189" t="str">
        <f ca="1">IFERROR(__xludf.DUMMYFUNCTION("""COMPUTED_VALUE"""),"F")</f>
        <v>F</v>
      </c>
      <c r="F1538" s="189" t="str">
        <f ca="1">IFERROR(__xludf.DUMMYFUNCTION("""COMPUTED_VALUE"""),"J")</f>
        <v>J</v>
      </c>
      <c r="G1538" s="189">
        <f ca="1">IFERROR(__xludf.DUMMYFUNCTION("""COMPUTED_VALUE"""),5)</f>
        <v>5</v>
      </c>
      <c r="H1538" s="196"/>
      <c r="I1538" s="196"/>
      <c r="J1538" s="196"/>
      <c r="K1538" s="196"/>
      <c r="L1538" s="196" t="str">
        <v/>
      </c>
      <c r="M1538" s="196"/>
    </row>
    <row r="1539" spans="1:13" ht="14.4" x14ac:dyDescent="0.3">
      <c r="A1539" s="189" t="str">
        <f ca="1">IFERROR(__xludf.DUMMYFUNCTION("""COMPUTED_VALUE"""),"R")</f>
        <v>R</v>
      </c>
      <c r="B1539" s="195" t="str">
        <f ca="1">IFERROR(__xludf.DUMMYFUNCTION("""COMPUTED_VALUE"""),"Claire Beaudoin")</f>
        <v>Claire Beaudoin</v>
      </c>
      <c r="C1539" s="189">
        <f ca="1">IFERROR(__xludf.DUMMYFUNCTION("""COMPUTED_VALUE"""),5)</f>
        <v>5</v>
      </c>
      <c r="D1539" s="189" t="str">
        <f ca="1">IFERROR(__xludf.DUMMYFUNCTION("""COMPUTED_VALUE"""),"G")</f>
        <v>G</v>
      </c>
      <c r="E1539" s="189" t="str">
        <f ca="1">IFERROR(__xludf.DUMMYFUNCTION("""COMPUTED_VALUE"""),"F")</f>
        <v>F</v>
      </c>
      <c r="F1539" s="189" t="str">
        <f ca="1">IFERROR(__xludf.DUMMYFUNCTION("""COMPUTED_VALUE"""),"J")</f>
        <v>J</v>
      </c>
      <c r="G1539" s="189">
        <f ca="1">IFERROR(__xludf.DUMMYFUNCTION("""COMPUTED_VALUE"""),5)</f>
        <v>5</v>
      </c>
      <c r="H1539" s="196"/>
      <c r="I1539" s="196"/>
      <c r="J1539" s="196"/>
      <c r="K1539" s="196"/>
      <c r="L1539" s="196" t="str">
        <v/>
      </c>
      <c r="M1539" s="196"/>
    </row>
    <row r="1540" spans="1:13" ht="14.4" x14ac:dyDescent="0.3">
      <c r="A1540" s="189" t="str">
        <f ca="1">IFERROR(__xludf.DUMMYFUNCTION("""COMPUTED_VALUE"""),"R")</f>
        <v>R</v>
      </c>
      <c r="B1540" s="195" t="str">
        <f ca="1">IFERROR(__xludf.DUMMYFUNCTION("""COMPUTED_VALUE"""),"Claire Yurgil")</f>
        <v>Claire Yurgil</v>
      </c>
      <c r="C1540" s="189">
        <f ca="1">IFERROR(__xludf.DUMMYFUNCTION("""COMPUTED_VALUE"""),8)</f>
        <v>8</v>
      </c>
      <c r="D1540" s="189" t="str">
        <f ca="1">IFERROR(__xludf.DUMMYFUNCTION("""COMPUTED_VALUE"""),"G")</f>
        <v>G</v>
      </c>
      <c r="E1540" s="189" t="str">
        <f ca="1">IFERROR(__xludf.DUMMYFUNCTION("""COMPUTED_VALUE"""),"F")</f>
        <v>F</v>
      </c>
      <c r="F1540" s="189" t="str">
        <f ca="1">IFERROR(__xludf.DUMMYFUNCTION("""COMPUTED_VALUE"""),"J")</f>
        <v>J</v>
      </c>
      <c r="G1540" s="189">
        <f ca="1">IFERROR(__xludf.DUMMYFUNCTION("""COMPUTED_VALUE"""),5)</f>
        <v>5</v>
      </c>
      <c r="H1540" s="196" t="s">
        <v>647</v>
      </c>
      <c r="I1540" s="196"/>
      <c r="J1540" s="196" t="s">
        <v>29</v>
      </c>
      <c r="K1540" s="196"/>
      <c r="L1540" s="196" t="str">
        <v xml:space="preserve"> 36.55</v>
      </c>
      <c r="M1540" s="196"/>
    </row>
    <row r="1541" spans="1:13" ht="14.4" x14ac:dyDescent="0.3">
      <c r="A1541" s="189" t="str">
        <f ca="1">IFERROR(__xludf.DUMMYFUNCTION("""COMPUTED_VALUE"""),"R")</f>
        <v>R</v>
      </c>
      <c r="B1541" s="195" t="str">
        <f ca="1">IFERROR(__xludf.DUMMYFUNCTION("""COMPUTED_VALUE"""),"Dorothy Small")</f>
        <v>Dorothy Small</v>
      </c>
      <c r="C1541" s="189">
        <f ca="1">IFERROR(__xludf.DUMMYFUNCTION("""COMPUTED_VALUE"""),9)</f>
        <v>9</v>
      </c>
      <c r="D1541" s="189" t="str">
        <f ca="1">IFERROR(__xludf.DUMMYFUNCTION("""COMPUTED_VALUE"""),"G")</f>
        <v>G</v>
      </c>
      <c r="E1541" s="189" t="str">
        <f ca="1">IFERROR(__xludf.DUMMYFUNCTION("""COMPUTED_VALUE"""),"F")</f>
        <v>F</v>
      </c>
      <c r="F1541" s="189" t="str">
        <f ca="1">IFERROR(__xludf.DUMMYFUNCTION("""COMPUTED_VALUE"""),"J")</f>
        <v>J</v>
      </c>
      <c r="G1541" s="189">
        <f ca="1">IFERROR(__xludf.DUMMYFUNCTION("""COMPUTED_VALUE"""),5)</f>
        <v>5</v>
      </c>
      <c r="H1541" s="196"/>
      <c r="I1541" s="196"/>
      <c r="J1541" s="196"/>
      <c r="K1541" s="196"/>
      <c r="L1541" s="196" t="str">
        <v/>
      </c>
      <c r="M1541" s="196"/>
    </row>
    <row r="1542" spans="1:13" ht="14.4" x14ac:dyDescent="0.3">
      <c r="A1542" s="189" t="str">
        <f ca="1">IFERROR(__xludf.DUMMYFUNCTION("""COMPUTED_VALUE"""),"R")</f>
        <v>R</v>
      </c>
      <c r="B1542" s="195" t="str">
        <f ca="1">IFERROR(__xludf.DUMMYFUNCTION("""COMPUTED_VALUE"""),"Emma Khuc")</f>
        <v>Emma Khuc</v>
      </c>
      <c r="C1542" s="189">
        <f ca="1">IFERROR(__xludf.DUMMYFUNCTION("""COMPUTED_VALUE"""),8)</f>
        <v>8</v>
      </c>
      <c r="D1542" s="189" t="str">
        <f ca="1">IFERROR(__xludf.DUMMYFUNCTION("""COMPUTED_VALUE"""),"G")</f>
        <v>G</v>
      </c>
      <c r="E1542" s="189" t="str">
        <f ca="1">IFERROR(__xludf.DUMMYFUNCTION("""COMPUTED_VALUE"""),"F")</f>
        <v>F</v>
      </c>
      <c r="F1542" s="189" t="str">
        <f ca="1">IFERROR(__xludf.DUMMYFUNCTION("""COMPUTED_VALUE"""),"J")</f>
        <v>J</v>
      </c>
      <c r="G1542" s="189">
        <f ca="1">IFERROR(__xludf.DUMMYFUNCTION("""COMPUTED_VALUE"""),5)</f>
        <v>5</v>
      </c>
      <c r="H1542" s="196"/>
      <c r="I1542" s="196"/>
      <c r="J1542" s="196"/>
      <c r="K1542" s="196"/>
      <c r="L1542" s="196" t="str">
        <v/>
      </c>
      <c r="M1542" s="196"/>
    </row>
    <row r="1543" spans="1:13" ht="14.4" x14ac:dyDescent="0.3">
      <c r="A1543" s="189" t="str">
        <f ca="1">IFERROR(__xludf.DUMMYFUNCTION("""COMPUTED_VALUE"""),"R")</f>
        <v>R</v>
      </c>
      <c r="B1543" s="195" t="str">
        <f ca="1">IFERROR(__xludf.DUMMYFUNCTION("""COMPUTED_VALUE"""),"Emma Wiedemann")</f>
        <v>Emma Wiedemann</v>
      </c>
      <c r="C1543" s="189">
        <f ca="1">IFERROR(__xludf.DUMMYFUNCTION("""COMPUTED_VALUE"""),7)</f>
        <v>7</v>
      </c>
      <c r="D1543" s="189" t="str">
        <f ca="1">IFERROR(__xludf.DUMMYFUNCTION("""COMPUTED_VALUE"""),"G")</f>
        <v>G</v>
      </c>
      <c r="E1543" s="189" t="str">
        <f ca="1">IFERROR(__xludf.DUMMYFUNCTION("""COMPUTED_VALUE"""),"F")</f>
        <v>F</v>
      </c>
      <c r="F1543" s="189" t="str">
        <f ca="1">IFERROR(__xludf.DUMMYFUNCTION("""COMPUTED_VALUE"""),"J")</f>
        <v>J</v>
      </c>
      <c r="G1543" s="189">
        <f ca="1">IFERROR(__xludf.DUMMYFUNCTION("""COMPUTED_VALUE"""),5)</f>
        <v>5</v>
      </c>
      <c r="H1543" s="196" t="s">
        <v>293</v>
      </c>
      <c r="I1543" s="196"/>
      <c r="J1543" s="196" t="s">
        <v>29</v>
      </c>
      <c r="K1543" s="196"/>
      <c r="L1543" s="196" t="str">
        <v xml:space="preserve"> 17.75</v>
      </c>
      <c r="M1543" s="196"/>
    </row>
    <row r="1544" spans="1:13" ht="14.4" x14ac:dyDescent="0.3">
      <c r="A1544" s="189" t="str">
        <f ca="1">IFERROR(__xludf.DUMMYFUNCTION("""COMPUTED_VALUE"""),"R")</f>
        <v>R</v>
      </c>
      <c r="B1544" s="195" t="str">
        <f ca="1">IFERROR(__xludf.DUMMYFUNCTION("""COMPUTED_VALUE"""),"Lauren Rueffert")</f>
        <v>Lauren Rueffert</v>
      </c>
      <c r="C1544" s="189">
        <f ca="1">IFERROR(__xludf.DUMMYFUNCTION("""COMPUTED_VALUE"""),10)</f>
        <v>10</v>
      </c>
      <c r="D1544" s="189" t="str">
        <f ca="1">IFERROR(__xludf.DUMMYFUNCTION("""COMPUTED_VALUE"""),"G")</f>
        <v>G</v>
      </c>
      <c r="E1544" s="189" t="str">
        <f ca="1">IFERROR(__xludf.DUMMYFUNCTION("""COMPUTED_VALUE"""),"F")</f>
        <v>F</v>
      </c>
      <c r="F1544" s="189" t="str">
        <f ca="1">IFERROR(__xludf.DUMMYFUNCTION("""COMPUTED_VALUE"""),"J")</f>
        <v>J</v>
      </c>
      <c r="G1544" s="189">
        <f ca="1">IFERROR(__xludf.DUMMYFUNCTION("""COMPUTED_VALUE"""),5)</f>
        <v>5</v>
      </c>
      <c r="H1544" s="196"/>
      <c r="I1544" s="196"/>
      <c r="J1544" s="196"/>
      <c r="K1544" s="196"/>
      <c r="L1544" s="196" t="str">
        <v/>
      </c>
      <c r="M1544" s="196"/>
    </row>
    <row r="1545" spans="1:13" ht="14.4" x14ac:dyDescent="0.3">
      <c r="A1545" s="189" t="str">
        <f ca="1">IFERROR(__xludf.DUMMYFUNCTION("""COMPUTED_VALUE"""),"R")</f>
        <v>R</v>
      </c>
      <c r="B1545" s="195" t="str">
        <f ca="1">IFERROR(__xludf.DUMMYFUNCTION("""COMPUTED_VALUE"""),"Lily McConnell")</f>
        <v>Lily McConnell</v>
      </c>
      <c r="C1545" s="189">
        <f ca="1">IFERROR(__xludf.DUMMYFUNCTION("""COMPUTED_VALUE"""),7)</f>
        <v>7</v>
      </c>
      <c r="D1545" s="189" t="str">
        <f ca="1">IFERROR(__xludf.DUMMYFUNCTION("""COMPUTED_VALUE"""),"G")</f>
        <v>G</v>
      </c>
      <c r="E1545" s="189" t="str">
        <f ca="1">IFERROR(__xludf.DUMMYFUNCTION("""COMPUTED_VALUE"""),"F")</f>
        <v>F</v>
      </c>
      <c r="F1545" s="189" t="str">
        <f ca="1">IFERROR(__xludf.DUMMYFUNCTION("""COMPUTED_VALUE"""),"J")</f>
        <v>J</v>
      </c>
      <c r="G1545" s="189">
        <f ca="1">IFERROR(__xludf.DUMMYFUNCTION("""COMPUTED_VALUE"""),5)</f>
        <v>5</v>
      </c>
      <c r="H1545" s="196"/>
      <c r="I1545" s="196"/>
      <c r="J1545" s="196"/>
      <c r="K1545" s="196"/>
      <c r="L1545" s="196" t="str">
        <v/>
      </c>
      <c r="M1545" s="196"/>
    </row>
    <row r="1546" spans="1:13" ht="14.4" x14ac:dyDescent="0.3">
      <c r="A1546" s="189" t="str">
        <f ca="1">IFERROR(__xludf.DUMMYFUNCTION("""COMPUTED_VALUE"""),"R")</f>
        <v>R</v>
      </c>
      <c r="B1546" s="195" t="str">
        <f ca="1">IFERROR(__xludf.DUMMYFUNCTION("""COMPUTED_VALUE"""),"Lydia Scruby")</f>
        <v>Lydia Scruby</v>
      </c>
      <c r="C1546" s="189">
        <f ca="1">IFERROR(__xludf.DUMMYFUNCTION("""COMPUTED_VALUE"""),10)</f>
        <v>10</v>
      </c>
      <c r="D1546" s="189" t="str">
        <f ca="1">IFERROR(__xludf.DUMMYFUNCTION("""COMPUTED_VALUE"""),"G")</f>
        <v>G</v>
      </c>
      <c r="E1546" s="189" t="str">
        <f ca="1">IFERROR(__xludf.DUMMYFUNCTION("""COMPUTED_VALUE"""),"F")</f>
        <v>F</v>
      </c>
      <c r="F1546" s="189" t="str">
        <f ca="1">IFERROR(__xludf.DUMMYFUNCTION("""COMPUTED_VALUE"""),"J")</f>
        <v>J</v>
      </c>
      <c r="G1546" s="189">
        <f ca="1">IFERROR(__xludf.DUMMYFUNCTION("""COMPUTED_VALUE"""),5)</f>
        <v>5</v>
      </c>
      <c r="H1546" s="196"/>
      <c r="I1546" s="196"/>
      <c r="J1546" s="196"/>
      <c r="K1546" s="196"/>
      <c r="L1546" s="196" t="str">
        <v/>
      </c>
      <c r="M1546" s="196"/>
    </row>
    <row r="1547" spans="1:13" ht="14.4" x14ac:dyDescent="0.3">
      <c r="A1547" s="189" t="str">
        <f ca="1">IFERROR(__xludf.DUMMYFUNCTION("""COMPUTED_VALUE"""),"R")</f>
        <v>R</v>
      </c>
      <c r="B1547" s="195" t="str">
        <f ca="1">IFERROR(__xludf.DUMMYFUNCTION("""COMPUTED_VALUE"""),"Mia Khuc")</f>
        <v>Mia Khuc</v>
      </c>
      <c r="C1547" s="189">
        <f ca="1">IFERROR(__xludf.DUMMYFUNCTION("""COMPUTED_VALUE"""),10)</f>
        <v>10</v>
      </c>
      <c r="D1547" s="189" t="str">
        <f ca="1">IFERROR(__xludf.DUMMYFUNCTION("""COMPUTED_VALUE"""),"G")</f>
        <v>G</v>
      </c>
      <c r="E1547" s="189" t="str">
        <f ca="1">IFERROR(__xludf.DUMMYFUNCTION("""COMPUTED_VALUE"""),"F")</f>
        <v>F</v>
      </c>
      <c r="F1547" s="189" t="str">
        <f ca="1">IFERROR(__xludf.DUMMYFUNCTION("""COMPUTED_VALUE"""),"J")</f>
        <v>J</v>
      </c>
      <c r="G1547" s="189">
        <f ca="1">IFERROR(__xludf.DUMMYFUNCTION("""COMPUTED_VALUE"""),5)</f>
        <v>5</v>
      </c>
      <c r="H1547" s="196"/>
      <c r="I1547" s="196"/>
      <c r="J1547" s="196"/>
      <c r="K1547" s="196"/>
      <c r="L1547" s="196" t="str">
        <v/>
      </c>
      <c r="M1547" s="196"/>
    </row>
    <row r="1548" spans="1:13" ht="14.4" x14ac:dyDescent="0.3">
      <c r="A1548" s="189" t="str">
        <f ca="1">IFERROR(__xludf.DUMMYFUNCTION("""COMPUTED_VALUE"""),"R")</f>
        <v>R</v>
      </c>
      <c r="B1548" s="195" t="str">
        <f ca="1">IFERROR(__xludf.DUMMYFUNCTION("""COMPUTED_VALUE"""),"Olivia Wisecarver")</f>
        <v>Olivia Wisecarver</v>
      </c>
      <c r="C1548" s="189">
        <f ca="1">IFERROR(__xludf.DUMMYFUNCTION("""COMPUTED_VALUE"""),7)</f>
        <v>7</v>
      </c>
      <c r="D1548" s="189" t="str">
        <f ca="1">IFERROR(__xludf.DUMMYFUNCTION("""COMPUTED_VALUE"""),"G")</f>
        <v>G</v>
      </c>
      <c r="E1548" s="189" t="str">
        <f ca="1">IFERROR(__xludf.DUMMYFUNCTION("""COMPUTED_VALUE"""),"F")</f>
        <v>F</v>
      </c>
      <c r="F1548" s="189" t="str">
        <f ca="1">IFERROR(__xludf.DUMMYFUNCTION("""COMPUTED_VALUE"""),"J")</f>
        <v>J</v>
      </c>
      <c r="G1548" s="189">
        <f ca="1">IFERROR(__xludf.DUMMYFUNCTION("""COMPUTED_VALUE"""),5)</f>
        <v>5</v>
      </c>
      <c r="H1548" s="196" t="s">
        <v>648</v>
      </c>
      <c r="I1548" s="196"/>
      <c r="J1548" s="196" t="s">
        <v>29</v>
      </c>
      <c r="K1548" s="196"/>
      <c r="L1548" s="196" t="str">
        <v xml:space="preserve"> 27.05</v>
      </c>
      <c r="M1548" s="196"/>
    </row>
    <row r="1549" spans="1:13" ht="14.4" x14ac:dyDescent="0.3">
      <c r="A1549" s="189" t="str">
        <f ca="1">IFERROR(__xludf.DUMMYFUNCTION("""COMPUTED_VALUE"""),"R")</f>
        <v>R</v>
      </c>
      <c r="B1549" s="195" t="str">
        <f ca="1">IFERROR(__xludf.DUMMYFUNCTION("""COMPUTED_VALUE"""),"Aaron Scruby")</f>
        <v>Aaron Scruby</v>
      </c>
      <c r="C1549" s="189">
        <f ca="1">IFERROR(__xludf.DUMMYFUNCTION("""COMPUTED_VALUE"""),6)</f>
        <v>6</v>
      </c>
      <c r="D1549" s="189" t="str">
        <f ca="1">IFERROR(__xludf.DUMMYFUNCTION("""COMPUTED_VALUE"""),"B")</f>
        <v>B</v>
      </c>
      <c r="E1549" s="189" t="str">
        <f ca="1">IFERROR(__xludf.DUMMYFUNCTION("""COMPUTED_VALUE"""),"F")</f>
        <v>F</v>
      </c>
      <c r="F1549" s="189" t="str">
        <f ca="1">IFERROR(__xludf.DUMMYFUNCTION("""COMPUTED_VALUE"""),"J")</f>
        <v>J</v>
      </c>
      <c r="G1549" s="189">
        <f ca="1">IFERROR(__xludf.DUMMYFUNCTION("""COMPUTED_VALUE"""),5)</f>
        <v>5</v>
      </c>
      <c r="H1549" s="196" t="s">
        <v>449</v>
      </c>
      <c r="I1549" s="196"/>
      <c r="J1549" s="196" t="s">
        <v>29</v>
      </c>
      <c r="K1549" s="196"/>
      <c r="L1549" s="196" t="str">
        <v xml:space="preserve"> 16.80</v>
      </c>
      <c r="M1549" s="196"/>
    </row>
    <row r="1550" spans="1:13" ht="14.4" x14ac:dyDescent="0.3">
      <c r="A1550" s="189" t="str">
        <f ca="1">IFERROR(__xludf.DUMMYFUNCTION("""COMPUTED_VALUE"""),"R")</f>
        <v>R</v>
      </c>
      <c r="B1550" s="195" t="str">
        <f ca="1">IFERROR(__xludf.DUMMYFUNCTION("""COMPUTED_VALUE"""),"Beck Nazarshoyev")</f>
        <v>Beck Nazarshoyev</v>
      </c>
      <c r="C1550" s="189">
        <f ca="1">IFERROR(__xludf.DUMMYFUNCTION("""COMPUTED_VALUE"""),8)</f>
        <v>8</v>
      </c>
      <c r="D1550" s="189" t="str">
        <f ca="1">IFERROR(__xludf.DUMMYFUNCTION("""COMPUTED_VALUE"""),"B")</f>
        <v>B</v>
      </c>
      <c r="E1550" s="189" t="str">
        <f ca="1">IFERROR(__xludf.DUMMYFUNCTION("""COMPUTED_VALUE"""),"F")</f>
        <v>F</v>
      </c>
      <c r="F1550" s="189" t="str">
        <f ca="1">IFERROR(__xludf.DUMMYFUNCTION("""COMPUTED_VALUE"""),"J")</f>
        <v>J</v>
      </c>
      <c r="G1550" s="189">
        <f ca="1">IFERROR(__xludf.DUMMYFUNCTION("""COMPUTED_VALUE"""),5)</f>
        <v>5</v>
      </c>
      <c r="H1550" s="196"/>
      <c r="I1550" s="196"/>
      <c r="J1550" s="196"/>
      <c r="K1550" s="196"/>
      <c r="L1550" s="196" t="str">
        <v/>
      </c>
      <c r="M1550" s="196"/>
    </row>
    <row r="1551" spans="1:13" ht="14.4" x14ac:dyDescent="0.3">
      <c r="A1551" s="189" t="str">
        <f ca="1">IFERROR(__xludf.DUMMYFUNCTION("""COMPUTED_VALUE"""),"R")</f>
        <v>R</v>
      </c>
      <c r="B1551" s="195" t="str">
        <f ca="1">IFERROR(__xludf.DUMMYFUNCTION("""COMPUTED_VALUE"""),"Declan Prunty")</f>
        <v>Declan Prunty</v>
      </c>
      <c r="C1551" s="189">
        <f ca="1">IFERROR(__xludf.DUMMYFUNCTION("""COMPUTED_VALUE"""),8)</f>
        <v>8</v>
      </c>
      <c r="D1551" s="189" t="str">
        <f ca="1">IFERROR(__xludf.DUMMYFUNCTION("""COMPUTED_VALUE"""),"B")</f>
        <v>B</v>
      </c>
      <c r="E1551" s="189" t="str">
        <f ca="1">IFERROR(__xludf.DUMMYFUNCTION("""COMPUTED_VALUE"""),"F")</f>
        <v>F</v>
      </c>
      <c r="F1551" s="189" t="str">
        <f ca="1">IFERROR(__xludf.DUMMYFUNCTION("""COMPUTED_VALUE"""),"J")</f>
        <v>J</v>
      </c>
      <c r="G1551" s="189">
        <f ca="1">IFERROR(__xludf.DUMMYFUNCTION("""COMPUTED_VALUE"""),5)</f>
        <v>5</v>
      </c>
      <c r="H1551" s="196" t="s">
        <v>649</v>
      </c>
      <c r="I1551" s="196"/>
      <c r="J1551" s="196" t="s">
        <v>29</v>
      </c>
      <c r="K1551" s="196"/>
      <c r="L1551" s="196" t="str">
        <v xml:space="preserve"> 53.75</v>
      </c>
      <c r="M1551" s="196"/>
    </row>
    <row r="1552" spans="1:13" ht="14.4" x14ac:dyDescent="0.3">
      <c r="A1552" s="189" t="str">
        <f ca="1">IFERROR(__xludf.DUMMYFUNCTION("""COMPUTED_VALUE"""),"R")</f>
        <v>R</v>
      </c>
      <c r="B1552" s="195" t="str">
        <f ca="1">IFERROR(__xludf.DUMMYFUNCTION("""COMPUTED_VALUE"""),"Dominic Meruvia")</f>
        <v>Dominic Meruvia</v>
      </c>
      <c r="C1552" s="189">
        <f ca="1">IFERROR(__xludf.DUMMYFUNCTION("""COMPUTED_VALUE"""),9)</f>
        <v>9</v>
      </c>
      <c r="D1552" s="189" t="str">
        <f ca="1">IFERROR(__xludf.DUMMYFUNCTION("""COMPUTED_VALUE"""),"B")</f>
        <v>B</v>
      </c>
      <c r="E1552" s="189" t="str">
        <f ca="1">IFERROR(__xludf.DUMMYFUNCTION("""COMPUTED_VALUE"""),"F")</f>
        <v>F</v>
      </c>
      <c r="F1552" s="189" t="str">
        <f ca="1">IFERROR(__xludf.DUMMYFUNCTION("""COMPUTED_VALUE"""),"J")</f>
        <v>J</v>
      </c>
      <c r="G1552" s="189">
        <f ca="1">IFERROR(__xludf.DUMMYFUNCTION("""COMPUTED_VALUE"""),5)</f>
        <v>5</v>
      </c>
      <c r="H1552" s="196"/>
      <c r="I1552" s="196"/>
      <c r="J1552" s="196"/>
      <c r="K1552" s="196"/>
      <c r="L1552" s="196" t="str">
        <v/>
      </c>
      <c r="M1552" s="196"/>
    </row>
    <row r="1553" spans="1:13" ht="14.4" x14ac:dyDescent="0.3">
      <c r="A1553" s="189" t="str">
        <f ca="1">IFERROR(__xludf.DUMMYFUNCTION("""COMPUTED_VALUE"""),"R")</f>
        <v>R</v>
      </c>
      <c r="B1553" s="195" t="str">
        <f ca="1">IFERROR(__xludf.DUMMYFUNCTION("""COMPUTED_VALUE"""),"Ryan Phung")</f>
        <v>Ryan Phung</v>
      </c>
      <c r="C1553" s="189">
        <f ca="1">IFERROR(__xludf.DUMMYFUNCTION("""COMPUTED_VALUE"""),9)</f>
        <v>9</v>
      </c>
      <c r="D1553" s="189" t="str">
        <f ca="1">IFERROR(__xludf.DUMMYFUNCTION("""COMPUTED_VALUE"""),"B")</f>
        <v>B</v>
      </c>
      <c r="E1553" s="189" t="str">
        <f ca="1">IFERROR(__xludf.DUMMYFUNCTION("""COMPUTED_VALUE"""),"F")</f>
        <v>F</v>
      </c>
      <c r="F1553" s="189" t="str">
        <f ca="1">IFERROR(__xludf.DUMMYFUNCTION("""COMPUTED_VALUE"""),"J")</f>
        <v>J</v>
      </c>
      <c r="G1553" s="189">
        <f ca="1">IFERROR(__xludf.DUMMYFUNCTION("""COMPUTED_VALUE"""),5)</f>
        <v>5</v>
      </c>
      <c r="H1553" s="196" t="s">
        <v>650</v>
      </c>
      <c r="I1553" s="196"/>
      <c r="J1553" s="196" t="s">
        <v>29</v>
      </c>
      <c r="K1553" s="196"/>
      <c r="L1553" s="196" t="str">
        <v xml:space="preserve"> 40.80</v>
      </c>
      <c r="M1553" s="196"/>
    </row>
    <row r="1554" spans="1:13" ht="14.4" x14ac:dyDescent="0.3">
      <c r="A1554" s="189" t="str">
        <f ca="1">IFERROR(__xludf.DUMMYFUNCTION("""COMPUTED_VALUE"""),"R")</f>
        <v>R</v>
      </c>
      <c r="B1554" s="195" t="str">
        <f ca="1">IFERROR(__xludf.DUMMYFUNCTION("""COMPUTED_VALUE"""),"Sami Ramon")</f>
        <v>Sami Ramon</v>
      </c>
      <c r="C1554" s="189">
        <f ca="1">IFERROR(__xludf.DUMMYFUNCTION("""COMPUTED_VALUE"""),8)</f>
        <v>8</v>
      </c>
      <c r="D1554" s="189" t="str">
        <f ca="1">IFERROR(__xludf.DUMMYFUNCTION("""COMPUTED_VALUE"""),"B")</f>
        <v>B</v>
      </c>
      <c r="E1554" s="189" t="str">
        <f ca="1">IFERROR(__xludf.DUMMYFUNCTION("""COMPUTED_VALUE"""),"F")</f>
        <v>F</v>
      </c>
      <c r="F1554" s="189" t="str">
        <f ca="1">IFERROR(__xludf.DUMMYFUNCTION("""COMPUTED_VALUE"""),"J")</f>
        <v>J</v>
      </c>
      <c r="G1554" s="189">
        <f ca="1">IFERROR(__xludf.DUMMYFUNCTION("""COMPUTED_VALUE"""),5)</f>
        <v>5</v>
      </c>
      <c r="H1554" s="196"/>
      <c r="I1554" s="196"/>
      <c r="J1554" s="196"/>
      <c r="K1554" s="196"/>
      <c r="L1554" s="196" t="str">
        <v/>
      </c>
      <c r="M1554" s="196"/>
    </row>
    <row r="1555" spans="1:13" ht="14.4" x14ac:dyDescent="0.3">
      <c r="A1555" s="189" t="str">
        <f ca="1">IFERROR(__xludf.DUMMYFUNCTION("""COMPUTED_VALUE"""),"R")</f>
        <v>R</v>
      </c>
      <c r="B1555" s="195" t="str">
        <f ca="1">IFERROR(__xludf.DUMMYFUNCTION("""COMPUTED_VALUE"""),"Will Feeney")</f>
        <v>Will Feeney</v>
      </c>
      <c r="C1555" s="189">
        <f ca="1">IFERROR(__xludf.DUMMYFUNCTION("""COMPUTED_VALUE"""),9)</f>
        <v>9</v>
      </c>
      <c r="D1555" s="189" t="str">
        <f ca="1">IFERROR(__xludf.DUMMYFUNCTION("""COMPUTED_VALUE"""),"B")</f>
        <v>B</v>
      </c>
      <c r="E1555" s="189" t="str">
        <f ca="1">IFERROR(__xludf.DUMMYFUNCTION("""COMPUTED_VALUE"""),"F")</f>
        <v>F</v>
      </c>
      <c r="F1555" s="189" t="str">
        <f ca="1">IFERROR(__xludf.DUMMYFUNCTION("""COMPUTED_VALUE"""),"J")</f>
        <v>J</v>
      </c>
      <c r="G1555" s="189">
        <f ca="1">IFERROR(__xludf.DUMMYFUNCTION("""COMPUTED_VALUE"""),5)</f>
        <v>5</v>
      </c>
      <c r="H1555" s="196" t="s">
        <v>255</v>
      </c>
      <c r="I1555" s="196"/>
      <c r="J1555" s="196" t="s">
        <v>29</v>
      </c>
      <c r="K1555" s="196"/>
      <c r="L1555" s="196" t="str">
        <v xml:space="preserve"> 65.80</v>
      </c>
      <c r="M1555" s="196"/>
    </row>
    <row r="1556" spans="1:13" ht="14.4" x14ac:dyDescent="0.3">
      <c r="A1556" s="189" t="str">
        <f ca="1">IFERROR(__xludf.DUMMYFUNCTION("""COMPUTED_VALUE"""),"R")</f>
        <v>R</v>
      </c>
      <c r="B1556" s="195" t="str">
        <f ca="1">IFERROR(__xludf.DUMMYFUNCTION("""COMPUTED_VALUE"""),"Yusef Suqi")</f>
        <v>Yusef Suqi</v>
      </c>
      <c r="C1556" s="189">
        <f ca="1">IFERROR(__xludf.DUMMYFUNCTION("""COMPUTED_VALUE"""),10)</f>
        <v>10</v>
      </c>
      <c r="D1556" s="189" t="str">
        <f ca="1">IFERROR(__xludf.DUMMYFUNCTION("""COMPUTED_VALUE"""),"B")</f>
        <v>B</v>
      </c>
      <c r="E1556" s="189" t="str">
        <f ca="1">IFERROR(__xludf.DUMMYFUNCTION("""COMPUTED_VALUE"""),"F")</f>
        <v>F</v>
      </c>
      <c r="F1556" s="189" t="str">
        <f ca="1">IFERROR(__xludf.DUMMYFUNCTION("""COMPUTED_VALUE"""),"J")</f>
        <v>J</v>
      </c>
      <c r="G1556" s="189">
        <f ca="1">IFERROR(__xludf.DUMMYFUNCTION("""COMPUTED_VALUE"""),5)</f>
        <v>5</v>
      </c>
      <c r="H1556" s="196" t="s">
        <v>651</v>
      </c>
      <c r="I1556" s="196"/>
      <c r="J1556" s="196" t="s">
        <v>29</v>
      </c>
      <c r="K1556" s="196"/>
      <c r="L1556" s="196" t="str">
        <v xml:space="preserve"> 40.50</v>
      </c>
      <c r="M1556" s="196"/>
    </row>
    <row r="1557" spans="1:13" ht="14.4" x14ac:dyDescent="0.3">
      <c r="A1557" s="189" t="str">
        <f ca="1">IFERROR(__xludf.DUMMYFUNCTION("""COMPUTED_VALUE"""),"R")</f>
        <v>R</v>
      </c>
      <c r="B1557" s="195" t="str">
        <f ca="1">IFERROR(__xludf.DUMMYFUNCTION("""COMPUTED_VALUE"""),"Delilah Copas")</f>
        <v>Delilah Copas</v>
      </c>
      <c r="C1557" s="189">
        <f ca="1">IFERROR(__xludf.DUMMYFUNCTION("""COMPUTED_VALUE"""),13)</f>
        <v>13</v>
      </c>
      <c r="D1557" s="189" t="str">
        <f ca="1">IFERROR(__xludf.DUMMYFUNCTION("""COMPUTED_VALUE"""),"G")</f>
        <v>G</v>
      </c>
      <c r="E1557" s="189" t="str">
        <f ca="1">IFERROR(__xludf.DUMMYFUNCTION("""COMPUTED_VALUE"""),"I")</f>
        <v>I</v>
      </c>
      <c r="F1557" s="189" t="str">
        <f ca="1">IFERROR(__xludf.DUMMYFUNCTION("""COMPUTED_VALUE"""),"S")</f>
        <v>S</v>
      </c>
      <c r="G1557" s="189">
        <f ca="1">IFERROR(__xludf.DUMMYFUNCTION("""COMPUTED_VALUE"""),5)</f>
        <v>5</v>
      </c>
      <c r="H1557" s="196"/>
      <c r="I1557" s="196"/>
      <c r="J1557" s="196"/>
      <c r="K1557" s="196"/>
      <c r="L1557" s="196" t="str">
        <v/>
      </c>
      <c r="M1557" s="196"/>
    </row>
    <row r="1558" spans="1:13" ht="14.4" x14ac:dyDescent="0.3">
      <c r="A1558" s="189" t="str">
        <f ca="1">IFERROR(__xludf.DUMMYFUNCTION("""COMPUTED_VALUE"""),"R")</f>
        <v>R</v>
      </c>
      <c r="B1558" s="195" t="str">
        <f ca="1">IFERROR(__xludf.DUMMYFUNCTION("""COMPUTED_VALUE"""),"Elsa Constantino")</f>
        <v>Elsa Constantino</v>
      </c>
      <c r="C1558" s="189">
        <f ca="1">IFERROR(__xludf.DUMMYFUNCTION("""COMPUTED_VALUE"""),13)</f>
        <v>13</v>
      </c>
      <c r="D1558" s="189" t="str">
        <f ca="1">IFERROR(__xludf.DUMMYFUNCTION("""COMPUTED_VALUE"""),"G")</f>
        <v>G</v>
      </c>
      <c r="E1558" s="189" t="str">
        <f ca="1">IFERROR(__xludf.DUMMYFUNCTION("""COMPUTED_VALUE"""),"I")</f>
        <v>I</v>
      </c>
      <c r="F1558" s="189" t="str">
        <f ca="1">IFERROR(__xludf.DUMMYFUNCTION("""COMPUTED_VALUE"""),"S")</f>
        <v>S</v>
      </c>
      <c r="G1558" s="189">
        <f ca="1">IFERROR(__xludf.DUMMYFUNCTION("""COMPUTED_VALUE"""),5)</f>
        <v>5</v>
      </c>
      <c r="H1558" s="196"/>
      <c r="I1558" s="196"/>
      <c r="J1558" s="196"/>
      <c r="K1558" s="196"/>
      <c r="L1558" s="196" t="str">
        <v/>
      </c>
      <c r="M1558" s="196"/>
    </row>
    <row r="1559" spans="1:13" ht="14.4" x14ac:dyDescent="0.3">
      <c r="A1559" s="189" t="str">
        <f ca="1">IFERROR(__xludf.DUMMYFUNCTION("""COMPUTED_VALUE"""),"R")</f>
        <v>R</v>
      </c>
      <c r="B1559" s="195" t="str">
        <f ca="1">IFERROR(__xludf.DUMMYFUNCTION("""COMPUTED_VALUE"""),"Miah Henderson")</f>
        <v>Miah Henderson</v>
      </c>
      <c r="C1559" s="189">
        <f ca="1">IFERROR(__xludf.DUMMYFUNCTION("""COMPUTED_VALUE"""),13)</f>
        <v>13</v>
      </c>
      <c r="D1559" s="189" t="str">
        <f ca="1">IFERROR(__xludf.DUMMYFUNCTION("""COMPUTED_VALUE"""),"G")</f>
        <v>G</v>
      </c>
      <c r="E1559" s="189" t="str">
        <f ca="1">IFERROR(__xludf.DUMMYFUNCTION("""COMPUTED_VALUE"""),"I")</f>
        <v>I</v>
      </c>
      <c r="F1559" s="189" t="str">
        <f ca="1">IFERROR(__xludf.DUMMYFUNCTION("""COMPUTED_VALUE"""),"S")</f>
        <v>S</v>
      </c>
      <c r="G1559" s="189">
        <f ca="1">IFERROR(__xludf.DUMMYFUNCTION("""COMPUTED_VALUE"""),5)</f>
        <v>5</v>
      </c>
      <c r="H1559" s="196" t="s">
        <v>652</v>
      </c>
      <c r="I1559" s="196"/>
      <c r="J1559" s="196" t="s">
        <v>64</v>
      </c>
      <c r="K1559" s="196"/>
      <c r="L1559" s="196" t="str">
        <v xml:space="preserve"> -174.35</v>
      </c>
      <c r="M1559" s="196"/>
    </row>
    <row r="1560" spans="1:13" ht="14.4" x14ac:dyDescent="0.3">
      <c r="A1560" s="189" t="str">
        <f ca="1">IFERROR(__xludf.DUMMYFUNCTION("""COMPUTED_VALUE"""),"R")</f>
        <v>R</v>
      </c>
      <c r="B1560" s="195" t="str">
        <f ca="1">IFERROR(__xludf.DUMMYFUNCTION("""COMPUTED_VALUE"""),"Sofia DiCola")</f>
        <v>Sofia DiCola</v>
      </c>
      <c r="C1560" s="189">
        <f ca="1">IFERROR(__xludf.DUMMYFUNCTION("""COMPUTED_VALUE"""),14)</f>
        <v>14</v>
      </c>
      <c r="D1560" s="189" t="str">
        <f ca="1">IFERROR(__xludf.DUMMYFUNCTION("""COMPUTED_VALUE"""),"G")</f>
        <v>G</v>
      </c>
      <c r="E1560" s="189" t="str">
        <f ca="1">IFERROR(__xludf.DUMMYFUNCTION("""COMPUTED_VALUE"""),"I")</f>
        <v>I</v>
      </c>
      <c r="F1560" s="189" t="str">
        <f ca="1">IFERROR(__xludf.DUMMYFUNCTION("""COMPUTED_VALUE"""),"S")</f>
        <v>S</v>
      </c>
      <c r="G1560" s="189">
        <f ca="1">IFERROR(__xludf.DUMMYFUNCTION("""COMPUTED_VALUE"""),5)</f>
        <v>5</v>
      </c>
      <c r="H1560" s="196" t="s">
        <v>653</v>
      </c>
      <c r="I1560" s="196"/>
      <c r="J1560" s="196" t="s">
        <v>29</v>
      </c>
      <c r="K1560" s="196"/>
      <c r="L1560" s="196" t="str">
        <v xml:space="preserve"> 133.70</v>
      </c>
      <c r="M1560" s="196"/>
    </row>
    <row r="1561" spans="1:13" ht="14.4" x14ac:dyDescent="0.3">
      <c r="A1561" s="189" t="str">
        <f ca="1">IFERROR(__xludf.DUMMYFUNCTION("""COMPUTED_VALUE"""),"R")</f>
        <v>R</v>
      </c>
      <c r="B1561" s="195" t="str">
        <f ca="1">IFERROR(__xludf.DUMMYFUNCTION("""COMPUTED_VALUE"""),"Andrew Bean")</f>
        <v>Andrew Bean</v>
      </c>
      <c r="C1561" s="189">
        <f ca="1">IFERROR(__xludf.DUMMYFUNCTION("""COMPUTED_VALUE"""),14)</f>
        <v>14</v>
      </c>
      <c r="D1561" s="189" t="str">
        <f ca="1">IFERROR(__xludf.DUMMYFUNCTION("""COMPUTED_VALUE"""),"B")</f>
        <v>B</v>
      </c>
      <c r="E1561" s="189" t="str">
        <f ca="1">IFERROR(__xludf.DUMMYFUNCTION("""COMPUTED_VALUE"""),"I")</f>
        <v>I</v>
      </c>
      <c r="F1561" s="189" t="str">
        <f ca="1">IFERROR(__xludf.DUMMYFUNCTION("""COMPUTED_VALUE"""),"S")</f>
        <v>S</v>
      </c>
      <c r="G1561" s="189">
        <f ca="1">IFERROR(__xludf.DUMMYFUNCTION("""COMPUTED_VALUE"""),5)</f>
        <v>5</v>
      </c>
      <c r="H1561" s="196"/>
      <c r="I1561" s="196"/>
      <c r="J1561" s="196"/>
      <c r="K1561" s="196"/>
      <c r="L1561" s="196" t="str">
        <v/>
      </c>
      <c r="M1561" s="196"/>
    </row>
    <row r="1562" spans="1:13" ht="14.4" x14ac:dyDescent="0.3">
      <c r="A1562" s="189" t="str">
        <f ca="1">IFERROR(__xludf.DUMMYFUNCTION("""COMPUTED_VALUE"""),"R")</f>
        <v>R</v>
      </c>
      <c r="B1562" s="195" t="str">
        <f ca="1">IFERROR(__xludf.DUMMYFUNCTION("""COMPUTED_VALUE"""),"Caleb Orban")</f>
        <v>Caleb Orban</v>
      </c>
      <c r="C1562" s="189">
        <f ca="1">IFERROR(__xludf.DUMMYFUNCTION("""COMPUTED_VALUE"""),13)</f>
        <v>13</v>
      </c>
      <c r="D1562" s="189" t="str">
        <f ca="1">IFERROR(__xludf.DUMMYFUNCTION("""COMPUTED_VALUE"""),"B")</f>
        <v>B</v>
      </c>
      <c r="E1562" s="189" t="str">
        <f ca="1">IFERROR(__xludf.DUMMYFUNCTION("""COMPUTED_VALUE"""),"I")</f>
        <v>I</v>
      </c>
      <c r="F1562" s="189" t="str">
        <f ca="1">IFERROR(__xludf.DUMMYFUNCTION("""COMPUTED_VALUE"""),"S")</f>
        <v>S</v>
      </c>
      <c r="G1562" s="189">
        <f ca="1">IFERROR(__xludf.DUMMYFUNCTION("""COMPUTED_VALUE"""),5)</f>
        <v>5</v>
      </c>
      <c r="H1562" s="196" t="s">
        <v>149</v>
      </c>
      <c r="I1562" s="196"/>
      <c r="J1562" s="196" t="s">
        <v>29</v>
      </c>
      <c r="K1562" s="196"/>
      <c r="L1562" s="196" t="str">
        <v xml:space="preserve"> 92.30</v>
      </c>
      <c r="M1562" s="196"/>
    </row>
    <row r="1563" spans="1:13" ht="14.4" x14ac:dyDescent="0.3">
      <c r="A1563" s="189" t="str">
        <f ca="1">IFERROR(__xludf.DUMMYFUNCTION("""COMPUTED_VALUE"""),"R")</f>
        <v>R</v>
      </c>
      <c r="B1563" s="195" t="str">
        <f ca="1">IFERROR(__xludf.DUMMYFUNCTION("""COMPUTED_VALUE"""),"Connor Prunty")</f>
        <v>Connor Prunty</v>
      </c>
      <c r="C1563" s="189">
        <f ca="1">IFERROR(__xludf.DUMMYFUNCTION("""COMPUTED_VALUE"""),13)</f>
        <v>13</v>
      </c>
      <c r="D1563" s="189" t="str">
        <f ca="1">IFERROR(__xludf.DUMMYFUNCTION("""COMPUTED_VALUE"""),"B")</f>
        <v>B</v>
      </c>
      <c r="E1563" s="189" t="str">
        <f ca="1">IFERROR(__xludf.DUMMYFUNCTION("""COMPUTED_VALUE"""),"I")</f>
        <v>I</v>
      </c>
      <c r="F1563" s="189" t="str">
        <f ca="1">IFERROR(__xludf.DUMMYFUNCTION("""COMPUTED_VALUE"""),"S")</f>
        <v>S</v>
      </c>
      <c r="G1563" s="189">
        <f ca="1">IFERROR(__xludf.DUMMYFUNCTION("""COMPUTED_VALUE"""),5)</f>
        <v>5</v>
      </c>
      <c r="H1563" s="196" t="s">
        <v>371</v>
      </c>
      <c r="I1563" s="196"/>
      <c r="J1563" s="196" t="s">
        <v>29</v>
      </c>
      <c r="K1563" s="196"/>
      <c r="L1563" s="196" t="str">
        <v xml:space="preserve"> 78.40</v>
      </c>
      <c r="M1563" s="196"/>
    </row>
    <row r="1564" spans="1:13" ht="14.4" x14ac:dyDescent="0.3">
      <c r="A1564" s="189" t="str">
        <f ca="1">IFERROR(__xludf.DUMMYFUNCTION("""COMPUTED_VALUE"""),"R")</f>
        <v>R</v>
      </c>
      <c r="B1564" s="195" t="str">
        <f ca="1">IFERROR(__xludf.DUMMYFUNCTION("""COMPUTED_VALUE"""),"Michael Grace")</f>
        <v>Michael Grace</v>
      </c>
      <c r="C1564" s="189">
        <f ca="1">IFERROR(__xludf.DUMMYFUNCTION("""COMPUTED_VALUE"""),13)</f>
        <v>13</v>
      </c>
      <c r="D1564" s="189" t="str">
        <f ca="1">IFERROR(__xludf.DUMMYFUNCTION("""COMPUTED_VALUE"""),"B")</f>
        <v>B</v>
      </c>
      <c r="E1564" s="189" t="str">
        <f ca="1">IFERROR(__xludf.DUMMYFUNCTION("""COMPUTED_VALUE"""),"I")</f>
        <v>I</v>
      </c>
      <c r="F1564" s="189" t="str">
        <f ca="1">IFERROR(__xludf.DUMMYFUNCTION("""COMPUTED_VALUE"""),"S")</f>
        <v>S</v>
      </c>
      <c r="G1564" s="189">
        <f ca="1">IFERROR(__xludf.DUMMYFUNCTION("""COMPUTED_VALUE"""),5)</f>
        <v>5</v>
      </c>
      <c r="H1564" s="196"/>
      <c r="I1564" s="196"/>
      <c r="J1564" s="196"/>
      <c r="K1564" s="196"/>
      <c r="L1564" s="196" t="str">
        <v/>
      </c>
      <c r="M1564" s="196"/>
    </row>
    <row r="1565" spans="1:13" ht="14.4" x14ac:dyDescent="0.3">
      <c r="A1565" s="189" t="str">
        <f ca="1">IFERROR(__xludf.DUMMYFUNCTION("""COMPUTED_VALUE"""),"R")</f>
        <v>R</v>
      </c>
      <c r="B1565" s="195" t="str">
        <f ca="1">IFERROR(__xludf.DUMMYFUNCTION("""COMPUTED_VALUE"""),"Karolina Ramon")</f>
        <v>Karolina Ramon</v>
      </c>
      <c r="C1565" s="189">
        <f ca="1">IFERROR(__xludf.DUMMYFUNCTION("""COMPUTED_VALUE"""),11)</f>
        <v>11</v>
      </c>
      <c r="D1565" s="189" t="str">
        <f ca="1">IFERROR(__xludf.DUMMYFUNCTION("""COMPUTED_VALUE"""),"G")</f>
        <v>G</v>
      </c>
      <c r="E1565" s="189" t="str">
        <f ca="1">IFERROR(__xludf.DUMMYFUNCTION("""COMPUTED_VALUE"""),"J")</f>
        <v>J</v>
      </c>
      <c r="F1565" s="189" t="str">
        <f ca="1">IFERROR(__xludf.DUMMYFUNCTION("""COMPUTED_VALUE"""),"I")</f>
        <v>I</v>
      </c>
      <c r="G1565" s="189">
        <f ca="1">IFERROR(__xludf.DUMMYFUNCTION("""COMPUTED_VALUE"""),5)</f>
        <v>5</v>
      </c>
      <c r="H1565" s="196"/>
      <c r="I1565" s="196"/>
      <c r="J1565" s="196"/>
      <c r="K1565" s="196"/>
      <c r="L1565" s="196" t="str">
        <v/>
      </c>
      <c r="M1565" s="196"/>
    </row>
    <row r="1566" spans="1:13" ht="14.4" x14ac:dyDescent="0.3">
      <c r="A1566" s="189" t="str">
        <f ca="1">IFERROR(__xludf.DUMMYFUNCTION("""COMPUTED_VALUE"""),"R")</f>
        <v>R</v>
      </c>
      <c r="B1566" s="195" t="str">
        <f ca="1">IFERROR(__xludf.DUMMYFUNCTION("""COMPUTED_VALUE"""),"Leila Suqi")</f>
        <v>Leila Suqi</v>
      </c>
      <c r="C1566" s="189">
        <f ca="1">IFERROR(__xludf.DUMMYFUNCTION("""COMPUTED_VALUE"""),11)</f>
        <v>11</v>
      </c>
      <c r="D1566" s="189" t="str">
        <f ca="1">IFERROR(__xludf.DUMMYFUNCTION("""COMPUTED_VALUE"""),"G")</f>
        <v>G</v>
      </c>
      <c r="E1566" s="189" t="str">
        <f ca="1">IFERROR(__xludf.DUMMYFUNCTION("""COMPUTED_VALUE"""),"J")</f>
        <v>J</v>
      </c>
      <c r="F1566" s="189" t="str">
        <f ca="1">IFERROR(__xludf.DUMMYFUNCTION("""COMPUTED_VALUE"""),"I")</f>
        <v>I</v>
      </c>
      <c r="G1566" s="189">
        <f ca="1">IFERROR(__xludf.DUMMYFUNCTION("""COMPUTED_VALUE"""),5)</f>
        <v>5</v>
      </c>
      <c r="H1566" s="196" t="s">
        <v>585</v>
      </c>
      <c r="I1566" s="196"/>
      <c r="J1566" s="196" t="s">
        <v>29</v>
      </c>
      <c r="K1566" s="196"/>
      <c r="L1566" s="196" t="str">
        <v xml:space="preserve"> 57.15</v>
      </c>
      <c r="M1566" s="196"/>
    </row>
    <row r="1567" spans="1:13" ht="14.4" x14ac:dyDescent="0.3">
      <c r="A1567" s="189" t="str">
        <f ca="1">IFERROR(__xludf.DUMMYFUNCTION("""COMPUTED_VALUE"""),"R")</f>
        <v>R</v>
      </c>
      <c r="B1567" s="195" t="str">
        <f ca="1">IFERROR(__xludf.DUMMYFUNCTION("""COMPUTED_VALUE"""),"Lucy Bennett")</f>
        <v>Lucy Bennett</v>
      </c>
      <c r="C1567" s="189">
        <f ca="1">IFERROR(__xludf.DUMMYFUNCTION("""COMPUTED_VALUE"""),12)</f>
        <v>12</v>
      </c>
      <c r="D1567" s="189" t="str">
        <f ca="1">IFERROR(__xludf.DUMMYFUNCTION("""COMPUTED_VALUE"""),"G")</f>
        <v>G</v>
      </c>
      <c r="E1567" s="189" t="str">
        <f ca="1">IFERROR(__xludf.DUMMYFUNCTION("""COMPUTED_VALUE"""),"J")</f>
        <v>J</v>
      </c>
      <c r="F1567" s="189" t="str">
        <f ca="1">IFERROR(__xludf.DUMMYFUNCTION("""COMPUTED_VALUE"""),"I")</f>
        <v>I</v>
      </c>
      <c r="G1567" s="189">
        <f ca="1">IFERROR(__xludf.DUMMYFUNCTION("""COMPUTED_VALUE"""),5)</f>
        <v>5</v>
      </c>
      <c r="H1567" s="196" t="s">
        <v>654</v>
      </c>
      <c r="I1567" s="196"/>
      <c r="J1567" s="196" t="s">
        <v>29</v>
      </c>
      <c r="K1567" s="196"/>
      <c r="L1567" s="196" t="str">
        <v xml:space="preserve"> 87.30</v>
      </c>
      <c r="M1567" s="196"/>
    </row>
    <row r="1568" spans="1:13" ht="14.4" x14ac:dyDescent="0.3">
      <c r="A1568" s="189" t="str">
        <f ca="1">IFERROR(__xludf.DUMMYFUNCTION("""COMPUTED_VALUE"""),"R")</f>
        <v>R</v>
      </c>
      <c r="B1568" s="195" t="str">
        <f ca="1">IFERROR(__xludf.DUMMYFUNCTION("""COMPUTED_VALUE"""),"Sophia McConnell")</f>
        <v>Sophia McConnell</v>
      </c>
      <c r="C1568" s="189">
        <f ca="1">IFERROR(__xludf.DUMMYFUNCTION("""COMPUTED_VALUE"""),12)</f>
        <v>12</v>
      </c>
      <c r="D1568" s="189" t="str">
        <f ca="1">IFERROR(__xludf.DUMMYFUNCTION("""COMPUTED_VALUE"""),"G")</f>
        <v>G</v>
      </c>
      <c r="E1568" s="189" t="str">
        <f ca="1">IFERROR(__xludf.DUMMYFUNCTION("""COMPUTED_VALUE"""),"J")</f>
        <v>J</v>
      </c>
      <c r="F1568" s="189" t="str">
        <f ca="1">IFERROR(__xludf.DUMMYFUNCTION("""COMPUTED_VALUE"""),"I")</f>
        <v>I</v>
      </c>
      <c r="G1568" s="189">
        <f ca="1">IFERROR(__xludf.DUMMYFUNCTION("""COMPUTED_VALUE"""),5)</f>
        <v>5</v>
      </c>
      <c r="H1568" s="196" t="s">
        <v>655</v>
      </c>
      <c r="I1568" s="196"/>
      <c r="J1568" s="196" t="s">
        <v>29</v>
      </c>
      <c r="K1568" s="196"/>
      <c r="L1568" s="196" t="str">
        <v xml:space="preserve"> 71.85</v>
      </c>
      <c r="M1568" s="196"/>
    </row>
    <row r="1569" spans="1:13" ht="14.4" x14ac:dyDescent="0.3">
      <c r="A1569" s="189" t="str">
        <f ca="1">IFERROR(__xludf.DUMMYFUNCTION("""COMPUTED_VALUE"""),"R")</f>
        <v>R</v>
      </c>
      <c r="B1569" s="195" t="str">
        <f ca="1">IFERROR(__xludf.DUMMYFUNCTION("""COMPUTED_VALUE"""),"Vivian Meruvia")</f>
        <v>Vivian Meruvia</v>
      </c>
      <c r="C1569" s="189">
        <f ca="1">IFERROR(__xludf.DUMMYFUNCTION("""COMPUTED_VALUE"""),11)</f>
        <v>11</v>
      </c>
      <c r="D1569" s="189" t="str">
        <f ca="1">IFERROR(__xludf.DUMMYFUNCTION("""COMPUTED_VALUE"""),"G")</f>
        <v>G</v>
      </c>
      <c r="E1569" s="189" t="str">
        <f ca="1">IFERROR(__xludf.DUMMYFUNCTION("""COMPUTED_VALUE"""),"J")</f>
        <v>J</v>
      </c>
      <c r="F1569" s="189" t="str">
        <f ca="1">IFERROR(__xludf.DUMMYFUNCTION("""COMPUTED_VALUE"""),"I")</f>
        <v>I</v>
      </c>
      <c r="G1569" s="189">
        <f ca="1">IFERROR(__xludf.DUMMYFUNCTION("""COMPUTED_VALUE"""),5)</f>
        <v>5</v>
      </c>
      <c r="H1569" s="196"/>
      <c r="I1569" s="196"/>
      <c r="J1569" s="196"/>
      <c r="K1569" s="196"/>
      <c r="L1569" s="196" t="str">
        <v/>
      </c>
      <c r="M1569" s="196"/>
    </row>
    <row r="1570" spans="1:13" ht="14.4" x14ac:dyDescent="0.3">
      <c r="A1570" s="189" t="str">
        <f ca="1">IFERROR(__xludf.DUMMYFUNCTION("""COMPUTED_VALUE"""),"R")</f>
        <v>R</v>
      </c>
      <c r="B1570" s="195" t="str">
        <f ca="1">IFERROR(__xludf.DUMMYFUNCTION("""COMPUTED_VALUE"""),"Jackson Phung")</f>
        <v>Jackson Phung</v>
      </c>
      <c r="C1570" s="189">
        <f ca="1">IFERROR(__xludf.DUMMYFUNCTION("""COMPUTED_VALUE"""),11)</f>
        <v>11</v>
      </c>
      <c r="D1570" s="189" t="str">
        <f ca="1">IFERROR(__xludf.DUMMYFUNCTION("""COMPUTED_VALUE"""),"B")</f>
        <v>B</v>
      </c>
      <c r="E1570" s="189" t="str">
        <f ca="1">IFERROR(__xludf.DUMMYFUNCTION("""COMPUTED_VALUE"""),"J")</f>
        <v>J</v>
      </c>
      <c r="F1570" s="189" t="str">
        <f ca="1">IFERROR(__xludf.DUMMYFUNCTION("""COMPUTED_VALUE"""),"I")</f>
        <v>I</v>
      </c>
      <c r="G1570" s="189">
        <f ca="1">IFERROR(__xludf.DUMMYFUNCTION("""COMPUTED_VALUE"""),5)</f>
        <v>5</v>
      </c>
      <c r="H1570" s="196" t="s">
        <v>656</v>
      </c>
      <c r="I1570" s="196"/>
      <c r="J1570" s="196" t="s">
        <v>29</v>
      </c>
      <c r="K1570" s="196"/>
      <c r="L1570" s="196" t="str">
        <v xml:space="preserve"> 70.95</v>
      </c>
      <c r="M1570" s="196"/>
    </row>
    <row r="1571" spans="1:13" ht="14.4" x14ac:dyDescent="0.3">
      <c r="A1571" s="189" t="str">
        <f ca="1">IFERROR(__xludf.DUMMYFUNCTION("""COMPUTED_VALUE"""),"R")</f>
        <v>R</v>
      </c>
      <c r="B1571" s="195" t="str">
        <f ca="1">IFERROR(__xludf.DUMMYFUNCTION("""COMPUTED_VALUE"""),"Jasper Figley")</f>
        <v>Jasper Figley</v>
      </c>
      <c r="C1571" s="189">
        <f ca="1">IFERROR(__xludf.DUMMYFUNCTION("""COMPUTED_VALUE"""),12)</f>
        <v>12</v>
      </c>
      <c r="D1571" s="189" t="str">
        <f ca="1">IFERROR(__xludf.DUMMYFUNCTION("""COMPUTED_VALUE"""),"B")</f>
        <v>B</v>
      </c>
      <c r="E1571" s="189" t="str">
        <f ca="1">IFERROR(__xludf.DUMMYFUNCTION("""COMPUTED_VALUE"""),"J")</f>
        <v>J</v>
      </c>
      <c r="F1571" s="189" t="str">
        <f ca="1">IFERROR(__xludf.DUMMYFUNCTION("""COMPUTED_VALUE"""),"I")</f>
        <v>I</v>
      </c>
      <c r="G1571" s="189">
        <f ca="1">IFERROR(__xludf.DUMMYFUNCTION("""COMPUTED_VALUE"""),5)</f>
        <v>5</v>
      </c>
      <c r="H1571" s="196" t="s">
        <v>657</v>
      </c>
      <c r="I1571" s="196"/>
      <c r="J1571" s="196" t="s">
        <v>29</v>
      </c>
      <c r="K1571" s="196"/>
      <c r="L1571" s="196" t="str">
        <v xml:space="preserve"> 82.30</v>
      </c>
      <c r="M1571" s="196"/>
    </row>
    <row r="1572" spans="1:13" ht="14.4" x14ac:dyDescent="0.3">
      <c r="A1572" s="189" t="str">
        <f ca="1">IFERROR(__xludf.DUMMYFUNCTION("""COMPUTED_VALUE"""),"R")</f>
        <v>R</v>
      </c>
      <c r="B1572" s="195" t="str">
        <f ca="1">IFERROR(__xludf.DUMMYFUNCTION("""COMPUTED_VALUE"""),"Paul DiCola")</f>
        <v>Paul DiCola</v>
      </c>
      <c r="C1572" s="189">
        <f ca="1">IFERROR(__xludf.DUMMYFUNCTION("""COMPUTED_VALUE"""),12)</f>
        <v>12</v>
      </c>
      <c r="D1572" s="189" t="str">
        <f ca="1">IFERROR(__xludf.DUMMYFUNCTION("""COMPUTED_VALUE"""),"B")</f>
        <v>B</v>
      </c>
      <c r="E1572" s="189" t="str">
        <f ca="1">IFERROR(__xludf.DUMMYFUNCTION("""COMPUTED_VALUE"""),"J")</f>
        <v>J</v>
      </c>
      <c r="F1572" s="189" t="str">
        <f ca="1">IFERROR(__xludf.DUMMYFUNCTION("""COMPUTED_VALUE"""),"I")</f>
        <v>I</v>
      </c>
      <c r="G1572" s="189">
        <f ca="1">IFERROR(__xludf.DUMMYFUNCTION("""COMPUTED_VALUE"""),5)</f>
        <v>5</v>
      </c>
      <c r="H1572" s="196" t="s">
        <v>658</v>
      </c>
      <c r="I1572" s="196"/>
      <c r="J1572" s="196" t="s">
        <v>29</v>
      </c>
      <c r="K1572" s="196"/>
      <c r="L1572" s="196" t="str">
        <v xml:space="preserve"> 58.15</v>
      </c>
      <c r="M1572" s="196"/>
    </row>
    <row r="1573" spans="1:13" ht="14.4" x14ac:dyDescent="0.3">
      <c r="A1573" s="189" t="str">
        <f ca="1">IFERROR(__xludf.DUMMYFUNCTION("""COMPUTED_VALUE"""),"R")</f>
        <v>R</v>
      </c>
      <c r="B1573" s="195" t="str">
        <f ca="1">IFERROR(__xludf.DUMMYFUNCTION("""COMPUTED_VALUE"""),"Zavier Roberts")</f>
        <v>Zavier Roberts</v>
      </c>
      <c r="C1573" s="189">
        <f ca="1">IFERROR(__xludf.DUMMYFUNCTION("""COMPUTED_VALUE"""),12)</f>
        <v>12</v>
      </c>
      <c r="D1573" s="189" t="str">
        <f ca="1">IFERROR(__xludf.DUMMYFUNCTION("""COMPUTED_VALUE"""),"B")</f>
        <v>B</v>
      </c>
      <c r="E1573" s="189" t="str">
        <f ca="1">IFERROR(__xludf.DUMMYFUNCTION("""COMPUTED_VALUE"""),"J")</f>
        <v>J</v>
      </c>
      <c r="F1573" s="189" t="str">
        <f ca="1">IFERROR(__xludf.DUMMYFUNCTION("""COMPUTED_VALUE"""),"I")</f>
        <v>I</v>
      </c>
      <c r="G1573" s="189">
        <f ca="1">IFERROR(__xludf.DUMMYFUNCTION("""COMPUTED_VALUE"""),5)</f>
        <v>5</v>
      </c>
      <c r="H1573" s="196" t="s">
        <v>659</v>
      </c>
      <c r="I1573" s="196"/>
      <c r="J1573" s="196" t="s">
        <v>29</v>
      </c>
      <c r="K1573" s="196"/>
      <c r="L1573" s="196" t="str">
        <v xml:space="preserve"> 58.90</v>
      </c>
      <c r="M1573" s="196"/>
    </row>
    <row r="1574" spans="1:13" ht="14.4" x14ac:dyDescent="0.3">
      <c r="A1574" s="189" t="str">
        <f ca="1">IFERROR(__xludf.DUMMYFUNCTION("""COMPUTED_VALUE"""),"R")</f>
        <v>R</v>
      </c>
      <c r="B1574" s="195" t="str">
        <f ca="1">IFERROR(__xludf.DUMMYFUNCTION("""COMPUTED_VALUE"""),"Jillian Champlin")</f>
        <v>Jillian Champlin</v>
      </c>
      <c r="C1574" s="189">
        <f ca="1">IFERROR(__xludf.DUMMYFUNCTION("""COMPUTED_VALUE"""),18)</f>
        <v>18</v>
      </c>
      <c r="D1574" s="189" t="str">
        <f ca="1">IFERROR(__xludf.DUMMYFUNCTION("""COMPUTED_VALUE"""),"G")</f>
        <v>G</v>
      </c>
      <c r="E1574" s="189" t="str">
        <f ca="1">IFERROR(__xludf.DUMMYFUNCTION("""COMPUTED_VALUE"""),"S")</f>
        <v>S</v>
      </c>
      <c r="F1574" s="189" t="str">
        <f ca="1">IFERROR(__xludf.DUMMYFUNCTION("""COMPUTED_VALUE"""),"S")</f>
        <v>S</v>
      </c>
      <c r="G1574" s="189">
        <f ca="1">IFERROR(__xludf.DUMMYFUNCTION("""COMPUTED_VALUE"""),5)</f>
        <v>5</v>
      </c>
      <c r="H1574" s="196"/>
      <c r="I1574" s="196"/>
      <c r="J1574" s="196"/>
      <c r="K1574" s="196"/>
      <c r="L1574" s="196" t="str">
        <v/>
      </c>
      <c r="M1574" s="196"/>
    </row>
    <row r="1575" spans="1:13" ht="14.4" x14ac:dyDescent="0.3">
      <c r="A1575" s="189" t="str">
        <f ca="1">IFERROR(__xludf.DUMMYFUNCTION("""COMPUTED_VALUE"""),"R")</f>
        <v>R</v>
      </c>
      <c r="B1575" s="195" t="str">
        <f ca="1">IFERROR(__xludf.DUMMYFUNCTION("""COMPUTED_VALUE"""),"Mo Murphy")</f>
        <v>Mo Murphy</v>
      </c>
      <c r="C1575" s="189">
        <f ca="1">IFERROR(__xludf.DUMMYFUNCTION("""COMPUTED_VALUE"""),17)</f>
        <v>17</v>
      </c>
      <c r="D1575" s="189" t="str">
        <f ca="1">IFERROR(__xludf.DUMMYFUNCTION("""COMPUTED_VALUE"""),"G")</f>
        <v>G</v>
      </c>
      <c r="E1575" s="189" t="str">
        <f ca="1">IFERROR(__xludf.DUMMYFUNCTION("""COMPUTED_VALUE"""),"S")</f>
        <v>S</v>
      </c>
      <c r="F1575" s="189" t="str">
        <f ca="1">IFERROR(__xludf.DUMMYFUNCTION("""COMPUTED_VALUE"""),"S")</f>
        <v>S</v>
      </c>
      <c r="G1575" s="189">
        <f ca="1">IFERROR(__xludf.DUMMYFUNCTION("""COMPUTED_VALUE"""),5)</f>
        <v>5</v>
      </c>
      <c r="H1575" s="196" t="s">
        <v>175</v>
      </c>
      <c r="I1575" s="196"/>
      <c r="J1575" s="196" t="s">
        <v>29</v>
      </c>
      <c r="K1575" s="196"/>
      <c r="L1575" s="196" t="str">
        <v xml:space="preserve"> 113.95</v>
      </c>
      <c r="M1575" s="196"/>
    </row>
    <row r="1576" spans="1:13" ht="14.4" x14ac:dyDescent="0.3">
      <c r="A1576" s="189" t="str">
        <f ca="1">IFERROR(__xludf.DUMMYFUNCTION("""COMPUTED_VALUE"""),"R")</f>
        <v>R</v>
      </c>
      <c r="B1576" s="195" t="str">
        <f ca="1">IFERROR(__xludf.DUMMYFUNCTION("""COMPUTED_VALUE"""),"Cash Riedel")</f>
        <v>Cash Riedel</v>
      </c>
      <c r="C1576" s="189">
        <f ca="1">IFERROR(__xludf.DUMMYFUNCTION("""COMPUTED_VALUE"""),16)</f>
        <v>16</v>
      </c>
      <c r="D1576" s="189" t="str">
        <f ca="1">IFERROR(__xludf.DUMMYFUNCTION("""COMPUTED_VALUE"""),"B")</f>
        <v>B</v>
      </c>
      <c r="E1576" s="189" t="str">
        <f ca="1">IFERROR(__xludf.DUMMYFUNCTION("""COMPUTED_VALUE"""),"S")</f>
        <v>S</v>
      </c>
      <c r="F1576" s="189" t="str">
        <f ca="1">IFERROR(__xludf.DUMMYFUNCTION("""COMPUTED_VALUE"""),"S")</f>
        <v>S</v>
      </c>
      <c r="G1576" s="189">
        <f ca="1">IFERROR(__xludf.DUMMYFUNCTION("""COMPUTED_VALUE"""),5)</f>
        <v>5</v>
      </c>
      <c r="H1576" s="196" t="s">
        <v>660</v>
      </c>
      <c r="I1576" s="196"/>
      <c r="J1576" s="196" t="s">
        <v>29</v>
      </c>
      <c r="K1576" s="196"/>
      <c r="L1576" s="196" t="str">
        <v xml:space="preserve"> 117.55</v>
      </c>
      <c r="M1576" s="196"/>
    </row>
    <row r="1577" spans="1:13" ht="14.4" x14ac:dyDescent="0.3">
      <c r="A1577" s="189" t="str">
        <f ca="1">IFERROR(__xludf.DUMMYFUNCTION("""COMPUTED_VALUE"""),"R")</f>
        <v>R</v>
      </c>
      <c r="B1577" s="195" t="str">
        <f ca="1">IFERROR(__xludf.DUMMYFUNCTION("""COMPUTED_VALUE"""),"Leo McFadden")</f>
        <v>Leo McFadden</v>
      </c>
      <c r="C1577" s="189">
        <f ca="1">IFERROR(__xludf.DUMMYFUNCTION("""COMPUTED_VALUE"""),16)</f>
        <v>16</v>
      </c>
      <c r="D1577" s="189" t="str">
        <f ca="1">IFERROR(__xludf.DUMMYFUNCTION("""COMPUTED_VALUE"""),"B")</f>
        <v>B</v>
      </c>
      <c r="E1577" s="189" t="str">
        <f ca="1">IFERROR(__xludf.DUMMYFUNCTION("""COMPUTED_VALUE"""),"S")</f>
        <v>S</v>
      </c>
      <c r="F1577" s="189" t="str">
        <f ca="1">IFERROR(__xludf.DUMMYFUNCTION("""COMPUTED_VALUE"""),"S")</f>
        <v>S</v>
      </c>
      <c r="G1577" s="189">
        <f ca="1">IFERROR(__xludf.DUMMYFUNCTION("""COMPUTED_VALUE"""),5)</f>
        <v>5</v>
      </c>
      <c r="H1577" s="196" t="s">
        <v>661</v>
      </c>
      <c r="I1577" s="196"/>
      <c r="J1577" s="196" t="s">
        <v>29</v>
      </c>
      <c r="K1577" s="196"/>
      <c r="L1577" s="196" t="str">
        <v xml:space="preserve"> 128.75</v>
      </c>
      <c r="M1577" s="196"/>
    </row>
    <row r="1578" spans="1:13" ht="14.4" x14ac:dyDescent="0.3">
      <c r="A1578" s="189" t="str">
        <f ca="1">IFERROR(__xludf.DUMMYFUNCTION("""COMPUTED_VALUE"""),"R")</f>
        <v>R</v>
      </c>
      <c r="B1578" s="195" t="str">
        <f ca="1">IFERROR(__xludf.DUMMYFUNCTION("""COMPUTED_VALUE"""),"Luke Houghton")</f>
        <v>Luke Houghton</v>
      </c>
      <c r="C1578" s="189">
        <f ca="1">IFERROR(__xludf.DUMMYFUNCTION("""COMPUTED_VALUE"""),15)</f>
        <v>15</v>
      </c>
      <c r="D1578" s="189" t="str">
        <f ca="1">IFERROR(__xludf.DUMMYFUNCTION("""COMPUTED_VALUE"""),"B")</f>
        <v>B</v>
      </c>
      <c r="E1578" s="189" t="str">
        <f ca="1">IFERROR(__xludf.DUMMYFUNCTION("""COMPUTED_VALUE"""),"S")</f>
        <v>S</v>
      </c>
      <c r="F1578" s="189" t="str">
        <f ca="1">IFERROR(__xludf.DUMMYFUNCTION("""COMPUTED_VALUE"""),"S")</f>
        <v>S</v>
      </c>
      <c r="G1578" s="189">
        <f ca="1">IFERROR(__xludf.DUMMYFUNCTION("""COMPUTED_VALUE"""),5)</f>
        <v>5</v>
      </c>
      <c r="H1578" s="196" t="s">
        <v>662</v>
      </c>
      <c r="I1578" s="196"/>
      <c r="J1578" s="196" t="s">
        <v>29</v>
      </c>
      <c r="K1578" s="196"/>
      <c r="L1578" s="196" t="str">
        <v xml:space="preserve"> 116.95</v>
      </c>
      <c r="M1578" s="196"/>
    </row>
    <row r="1579" spans="1:13" ht="14.4" x14ac:dyDescent="0.3">
      <c r="A1579" s="189" t="str">
        <f ca="1">IFERROR(__xludf.DUMMYFUNCTION("""COMPUTED_VALUE"""),"R")</f>
        <v>R</v>
      </c>
      <c r="B1579" s="195" t="str">
        <f ca="1">IFERROR(__xludf.DUMMYFUNCTION("""COMPUTED_VALUE"""),"Max Shaffer")</f>
        <v>Max Shaffer</v>
      </c>
      <c r="C1579" s="189">
        <f ca="1">IFERROR(__xludf.DUMMYFUNCTION("""COMPUTED_VALUE"""),18)</f>
        <v>18</v>
      </c>
      <c r="D1579" s="189" t="str">
        <f ca="1">IFERROR(__xludf.DUMMYFUNCTION("""COMPUTED_VALUE"""),"B")</f>
        <v>B</v>
      </c>
      <c r="E1579" s="189" t="str">
        <f ca="1">IFERROR(__xludf.DUMMYFUNCTION("""COMPUTED_VALUE"""),"S")</f>
        <v>S</v>
      </c>
      <c r="F1579" s="189" t="str">
        <f ca="1">IFERROR(__xludf.DUMMYFUNCTION("""COMPUTED_VALUE"""),"S")</f>
        <v>S</v>
      </c>
      <c r="G1579" s="189">
        <f ca="1">IFERROR(__xludf.DUMMYFUNCTION("""COMPUTED_VALUE"""),5)</f>
        <v>5</v>
      </c>
      <c r="H1579" s="196"/>
      <c r="I1579" s="196"/>
      <c r="J1579" s="196"/>
      <c r="K1579" s="196"/>
      <c r="L1579" s="196" t="str">
        <v/>
      </c>
      <c r="M1579" s="196"/>
    </row>
    <row r="1580" spans="1:13" ht="14.4" x14ac:dyDescent="0.3">
      <c r="A1580" s="189" t="str">
        <f ca="1">IFERROR(__xludf.DUMMYFUNCTION("""COMPUTED_VALUE"""),"RFD")</f>
        <v>RFD</v>
      </c>
      <c r="B1580" s="195" t="str">
        <f ca="1">IFERROR(__xludf.DUMMYFUNCTION("""COMPUTED_VALUE"""),"Iris Williams")</f>
        <v>Iris Williams</v>
      </c>
      <c r="C1580" s="189">
        <f ca="1">IFERROR(__xludf.DUMMYFUNCTION("""COMPUTED_VALUE"""),7)</f>
        <v>7</v>
      </c>
      <c r="D1580" s="189" t="str">
        <f ca="1">IFERROR(__xludf.DUMMYFUNCTION("""COMPUTED_VALUE"""),"G")</f>
        <v>G</v>
      </c>
      <c r="E1580" s="189" t="str">
        <f ca="1">IFERROR(__xludf.DUMMYFUNCTION("""COMPUTED_VALUE"""),"F")</f>
        <v>F</v>
      </c>
      <c r="F1580" s="189" t="str">
        <f ca="1">IFERROR(__xludf.DUMMYFUNCTION("""COMPUTED_VALUE"""),"J")</f>
        <v>J</v>
      </c>
      <c r="G1580" s="189">
        <f ca="1">IFERROR(__xludf.DUMMYFUNCTION("""COMPUTED_VALUE"""),7)</f>
        <v>7</v>
      </c>
      <c r="H1580" s="196"/>
      <c r="I1580" s="196"/>
      <c r="J1580" s="196"/>
      <c r="K1580" s="196"/>
      <c r="L1580" s="196" t="str">
        <v/>
      </c>
      <c r="M1580" s="196"/>
    </row>
    <row r="1581" spans="1:13" ht="14.4" x14ac:dyDescent="0.3">
      <c r="A1581" s="189" t="str">
        <f ca="1">IFERROR(__xludf.DUMMYFUNCTION("""COMPUTED_VALUE"""),"RFD")</f>
        <v>RFD</v>
      </c>
      <c r="B1581" s="195" t="str">
        <f ca="1">IFERROR(__xludf.DUMMYFUNCTION("""COMPUTED_VALUE"""),"Jayne Argentina")</f>
        <v>Jayne Argentina</v>
      </c>
      <c r="C1581" s="189">
        <f ca="1">IFERROR(__xludf.DUMMYFUNCTION("""COMPUTED_VALUE"""),10)</f>
        <v>10</v>
      </c>
      <c r="D1581" s="189" t="str">
        <f ca="1">IFERROR(__xludf.DUMMYFUNCTION("""COMPUTED_VALUE"""),"G")</f>
        <v>G</v>
      </c>
      <c r="E1581" s="189" t="str">
        <f ca="1">IFERROR(__xludf.DUMMYFUNCTION("""COMPUTED_VALUE"""),"F")</f>
        <v>F</v>
      </c>
      <c r="F1581" s="189" t="str">
        <f ca="1">IFERROR(__xludf.DUMMYFUNCTION("""COMPUTED_VALUE"""),"J")</f>
        <v>J</v>
      </c>
      <c r="G1581" s="189">
        <f ca="1">IFERROR(__xludf.DUMMYFUNCTION("""COMPUTED_VALUE"""),7)</f>
        <v>7</v>
      </c>
      <c r="H1581" s="196"/>
      <c r="I1581" s="196"/>
      <c r="J1581" s="196"/>
      <c r="K1581" s="196"/>
      <c r="L1581" s="196" t="str">
        <v/>
      </c>
      <c r="M1581" s="196"/>
    </row>
    <row r="1582" spans="1:13" ht="14.4" x14ac:dyDescent="0.3">
      <c r="A1582" s="189" t="str">
        <f ca="1">IFERROR(__xludf.DUMMYFUNCTION("""COMPUTED_VALUE"""),"RFD")</f>
        <v>RFD</v>
      </c>
      <c r="B1582" s="195" t="str">
        <f ca="1">IFERROR(__xludf.DUMMYFUNCTION("""COMPUTED_VALUE"""),"Kaelyn Farrelly")</f>
        <v>Kaelyn Farrelly</v>
      </c>
      <c r="C1582" s="189">
        <f ca="1">IFERROR(__xludf.DUMMYFUNCTION("""COMPUTED_VALUE"""),10)</f>
        <v>10</v>
      </c>
      <c r="D1582" s="189" t="str">
        <f ca="1">IFERROR(__xludf.DUMMYFUNCTION("""COMPUTED_VALUE"""),"G")</f>
        <v>G</v>
      </c>
      <c r="E1582" s="189" t="str">
        <f ca="1">IFERROR(__xludf.DUMMYFUNCTION("""COMPUTED_VALUE"""),"F")</f>
        <v>F</v>
      </c>
      <c r="F1582" s="189" t="str">
        <f ca="1">IFERROR(__xludf.DUMMYFUNCTION("""COMPUTED_VALUE"""),"J")</f>
        <v>J</v>
      </c>
      <c r="G1582" s="189">
        <f ca="1">IFERROR(__xludf.DUMMYFUNCTION("""COMPUTED_VALUE"""),7)</f>
        <v>7</v>
      </c>
      <c r="H1582" s="196"/>
      <c r="I1582" s="196"/>
      <c r="J1582" s="196"/>
      <c r="K1582" s="196"/>
      <c r="L1582" s="196" t="str">
        <v/>
      </c>
      <c r="M1582" s="196"/>
    </row>
    <row r="1583" spans="1:13" ht="14.4" x14ac:dyDescent="0.3">
      <c r="A1583" s="189" t="str">
        <f ca="1">IFERROR(__xludf.DUMMYFUNCTION("""COMPUTED_VALUE"""),"RFD")</f>
        <v>RFD</v>
      </c>
      <c r="B1583" s="195" t="str">
        <f ca="1">IFERROR(__xludf.DUMMYFUNCTION("""COMPUTED_VALUE"""),"Madeleine Stankus")</f>
        <v>Madeleine Stankus</v>
      </c>
      <c r="C1583" s="189">
        <f ca="1">IFERROR(__xludf.DUMMYFUNCTION("""COMPUTED_VALUE"""),8)</f>
        <v>8</v>
      </c>
      <c r="D1583" s="189" t="str">
        <f ca="1">IFERROR(__xludf.DUMMYFUNCTION("""COMPUTED_VALUE"""),"G")</f>
        <v>G</v>
      </c>
      <c r="E1583" s="189" t="str">
        <f ca="1">IFERROR(__xludf.DUMMYFUNCTION("""COMPUTED_VALUE"""),"F")</f>
        <v>F</v>
      </c>
      <c r="F1583" s="189" t="str">
        <f ca="1">IFERROR(__xludf.DUMMYFUNCTION("""COMPUTED_VALUE"""),"J")</f>
        <v>J</v>
      </c>
      <c r="G1583" s="189">
        <f ca="1">IFERROR(__xludf.DUMMYFUNCTION("""COMPUTED_VALUE"""),7)</f>
        <v>7</v>
      </c>
      <c r="H1583" s="196"/>
      <c r="I1583" s="196"/>
      <c r="J1583" s="196"/>
      <c r="K1583" s="196"/>
      <c r="L1583" s="196" t="str">
        <v/>
      </c>
      <c r="M1583" s="196"/>
    </row>
    <row r="1584" spans="1:13" ht="14.4" x14ac:dyDescent="0.3">
      <c r="A1584" s="189" t="str">
        <f ca="1">IFERROR(__xludf.DUMMYFUNCTION("""COMPUTED_VALUE"""),"RFD")</f>
        <v>RFD</v>
      </c>
      <c r="B1584" s="195" t="str">
        <f ca="1">IFERROR(__xludf.DUMMYFUNCTION("""COMPUTED_VALUE"""),"Maggie Steffen")</f>
        <v>Maggie Steffen</v>
      </c>
      <c r="C1584" s="189">
        <f ca="1">IFERROR(__xludf.DUMMYFUNCTION("""COMPUTED_VALUE"""),8)</f>
        <v>8</v>
      </c>
      <c r="D1584" s="189" t="str">
        <f ca="1">IFERROR(__xludf.DUMMYFUNCTION("""COMPUTED_VALUE"""),"G")</f>
        <v>G</v>
      </c>
      <c r="E1584" s="189" t="str">
        <f ca="1">IFERROR(__xludf.DUMMYFUNCTION("""COMPUTED_VALUE"""),"F")</f>
        <v>F</v>
      </c>
      <c r="F1584" s="189" t="str">
        <f ca="1">IFERROR(__xludf.DUMMYFUNCTION("""COMPUTED_VALUE"""),"J")</f>
        <v>J</v>
      </c>
      <c r="G1584" s="189">
        <f ca="1">IFERROR(__xludf.DUMMYFUNCTION("""COMPUTED_VALUE"""),7)</f>
        <v>7</v>
      </c>
      <c r="H1584" s="196" t="s">
        <v>663</v>
      </c>
      <c r="I1584" s="196"/>
      <c r="J1584" s="196" t="s">
        <v>29</v>
      </c>
      <c r="K1584" s="196"/>
      <c r="L1584" s="196" t="str">
        <v xml:space="preserve"> 44.25</v>
      </c>
      <c r="M1584" s="196"/>
    </row>
    <row r="1585" spans="1:13" ht="14.4" x14ac:dyDescent="0.3">
      <c r="A1585" s="189" t="str">
        <f ca="1">IFERROR(__xludf.DUMMYFUNCTION("""COMPUTED_VALUE"""),"RFD")</f>
        <v>RFD</v>
      </c>
      <c r="B1585" s="195" t="str">
        <f ca="1">IFERROR(__xludf.DUMMYFUNCTION("""COMPUTED_VALUE"""),"Rian Farrelly")</f>
        <v>Rian Farrelly</v>
      </c>
      <c r="C1585" s="189">
        <f ca="1">IFERROR(__xludf.DUMMYFUNCTION("""COMPUTED_VALUE"""),9)</f>
        <v>9</v>
      </c>
      <c r="D1585" s="189" t="str">
        <f ca="1">IFERROR(__xludf.DUMMYFUNCTION("""COMPUTED_VALUE"""),"G")</f>
        <v>G</v>
      </c>
      <c r="E1585" s="189" t="str">
        <f ca="1">IFERROR(__xludf.DUMMYFUNCTION("""COMPUTED_VALUE"""),"F")</f>
        <v>F</v>
      </c>
      <c r="F1585" s="189" t="str">
        <f ca="1">IFERROR(__xludf.DUMMYFUNCTION("""COMPUTED_VALUE"""),"J")</f>
        <v>J</v>
      </c>
      <c r="G1585" s="189">
        <f ca="1">IFERROR(__xludf.DUMMYFUNCTION("""COMPUTED_VALUE"""),7)</f>
        <v>7</v>
      </c>
      <c r="H1585" s="196"/>
      <c r="I1585" s="196"/>
      <c r="J1585" s="196"/>
      <c r="K1585" s="196"/>
      <c r="L1585" s="196" t="str">
        <v/>
      </c>
      <c r="M1585" s="196"/>
    </row>
    <row r="1586" spans="1:13" ht="14.4" x14ac:dyDescent="0.3">
      <c r="A1586" s="189" t="str">
        <f ca="1">IFERROR(__xludf.DUMMYFUNCTION("""COMPUTED_VALUE"""),"RFD")</f>
        <v>RFD</v>
      </c>
      <c r="B1586" s="195" t="str">
        <f ca="1">IFERROR(__xludf.DUMMYFUNCTION("""COMPUTED_VALUE"""),"Ruthvi Mamillapalli")</f>
        <v>Ruthvi Mamillapalli</v>
      </c>
      <c r="C1586" s="189">
        <f ca="1">IFERROR(__xludf.DUMMYFUNCTION("""COMPUTED_VALUE"""),9)</f>
        <v>9</v>
      </c>
      <c r="D1586" s="189" t="str">
        <f ca="1">IFERROR(__xludf.DUMMYFUNCTION("""COMPUTED_VALUE"""),"G")</f>
        <v>G</v>
      </c>
      <c r="E1586" s="189" t="str">
        <f ca="1">IFERROR(__xludf.DUMMYFUNCTION("""COMPUTED_VALUE"""),"F")</f>
        <v>F</v>
      </c>
      <c r="F1586" s="189" t="str">
        <f ca="1">IFERROR(__xludf.DUMMYFUNCTION("""COMPUTED_VALUE"""),"J")</f>
        <v>J</v>
      </c>
      <c r="G1586" s="189">
        <f ca="1">IFERROR(__xludf.DUMMYFUNCTION("""COMPUTED_VALUE"""),7)</f>
        <v>7</v>
      </c>
      <c r="H1586" s="196"/>
      <c r="I1586" s="196"/>
      <c r="J1586" s="196"/>
      <c r="K1586" s="196"/>
      <c r="L1586" s="196" t="str">
        <v/>
      </c>
      <c r="M1586" s="196"/>
    </row>
    <row r="1587" spans="1:13" ht="14.4" x14ac:dyDescent="0.3">
      <c r="A1587" s="189" t="str">
        <f ca="1">IFERROR(__xludf.DUMMYFUNCTION("""COMPUTED_VALUE"""),"RFD")</f>
        <v>RFD</v>
      </c>
      <c r="B1587" s="195" t="str">
        <f ca="1">IFERROR(__xludf.DUMMYFUNCTION("""COMPUTED_VALUE"""),"Stella Lesser")</f>
        <v>Stella Lesser</v>
      </c>
      <c r="C1587" s="189">
        <f ca="1">IFERROR(__xludf.DUMMYFUNCTION("""COMPUTED_VALUE"""),6)</f>
        <v>6</v>
      </c>
      <c r="D1587" s="189" t="str">
        <f ca="1">IFERROR(__xludf.DUMMYFUNCTION("""COMPUTED_VALUE"""),"G")</f>
        <v>G</v>
      </c>
      <c r="E1587" s="189" t="str">
        <f ca="1">IFERROR(__xludf.DUMMYFUNCTION("""COMPUTED_VALUE"""),"F")</f>
        <v>F</v>
      </c>
      <c r="F1587" s="189" t="str">
        <f ca="1">IFERROR(__xludf.DUMMYFUNCTION("""COMPUTED_VALUE"""),"J")</f>
        <v>J</v>
      </c>
      <c r="G1587" s="189">
        <f ca="1">IFERROR(__xludf.DUMMYFUNCTION("""COMPUTED_VALUE"""),7)</f>
        <v>7</v>
      </c>
      <c r="H1587" s="196"/>
      <c r="I1587" s="196"/>
      <c r="J1587" s="196"/>
      <c r="K1587" s="196"/>
      <c r="L1587" s="196" t="str">
        <v/>
      </c>
      <c r="M1587" s="196"/>
    </row>
    <row r="1588" spans="1:13" ht="14.4" x14ac:dyDescent="0.3">
      <c r="A1588" s="189" t="str">
        <f ca="1">IFERROR(__xludf.DUMMYFUNCTION("""COMPUTED_VALUE"""),"RFD")</f>
        <v>RFD</v>
      </c>
      <c r="B1588" s="195" t="str">
        <f ca="1">IFERROR(__xludf.DUMMYFUNCTION("""COMPUTED_VALUE"""),"Tamar Davitian")</f>
        <v>Tamar Davitian</v>
      </c>
      <c r="C1588" s="189">
        <f ca="1">IFERROR(__xludf.DUMMYFUNCTION("""COMPUTED_VALUE"""),7)</f>
        <v>7</v>
      </c>
      <c r="D1588" s="189" t="str">
        <f ca="1">IFERROR(__xludf.DUMMYFUNCTION("""COMPUTED_VALUE"""),"G")</f>
        <v>G</v>
      </c>
      <c r="E1588" s="189" t="str">
        <f ca="1">IFERROR(__xludf.DUMMYFUNCTION("""COMPUTED_VALUE"""),"F")</f>
        <v>F</v>
      </c>
      <c r="F1588" s="189" t="str">
        <f ca="1">IFERROR(__xludf.DUMMYFUNCTION("""COMPUTED_VALUE"""),"J")</f>
        <v>J</v>
      </c>
      <c r="G1588" s="189">
        <f ca="1">IFERROR(__xludf.DUMMYFUNCTION("""COMPUTED_VALUE"""),7)</f>
        <v>7</v>
      </c>
      <c r="H1588" s="196" t="s">
        <v>165</v>
      </c>
      <c r="I1588" s="196"/>
      <c r="J1588" s="196" t="s">
        <v>29</v>
      </c>
      <c r="K1588" s="196"/>
      <c r="L1588" s="196" t="str">
        <v xml:space="preserve"> 33.50</v>
      </c>
      <c r="M1588" s="196"/>
    </row>
    <row r="1589" spans="1:13" ht="14.4" x14ac:dyDescent="0.3">
      <c r="A1589" s="189" t="str">
        <f ca="1">IFERROR(__xludf.DUMMYFUNCTION("""COMPUTED_VALUE"""),"RFD")</f>
        <v>RFD</v>
      </c>
      <c r="B1589" s="195" t="str">
        <f ca="1">IFERROR(__xludf.DUMMYFUNCTION("""COMPUTED_VALUE"""),"Tyler Tomlinson")</f>
        <v>Tyler Tomlinson</v>
      </c>
      <c r="C1589" s="189">
        <f ca="1">IFERROR(__xludf.DUMMYFUNCTION("""COMPUTED_VALUE"""),7)</f>
        <v>7</v>
      </c>
      <c r="D1589" s="189" t="str">
        <f ca="1">IFERROR(__xludf.DUMMYFUNCTION("""COMPUTED_VALUE"""),"G")</f>
        <v>G</v>
      </c>
      <c r="E1589" s="189" t="str">
        <f ca="1">IFERROR(__xludf.DUMMYFUNCTION("""COMPUTED_VALUE"""),"F")</f>
        <v>F</v>
      </c>
      <c r="F1589" s="189" t="str">
        <f ca="1">IFERROR(__xludf.DUMMYFUNCTION("""COMPUTED_VALUE"""),"J")</f>
        <v>J</v>
      </c>
      <c r="G1589" s="189">
        <f ca="1">IFERROR(__xludf.DUMMYFUNCTION("""COMPUTED_VALUE"""),7)</f>
        <v>7</v>
      </c>
      <c r="H1589" s="196"/>
      <c r="I1589" s="196"/>
      <c r="J1589" s="196"/>
      <c r="K1589" s="196"/>
      <c r="L1589" s="196" t="str">
        <v/>
      </c>
      <c r="M1589" s="196"/>
    </row>
    <row r="1590" spans="1:13" ht="14.4" x14ac:dyDescent="0.3">
      <c r="A1590" s="189" t="str">
        <f ca="1">IFERROR(__xludf.DUMMYFUNCTION("""COMPUTED_VALUE"""),"RFD")</f>
        <v>RFD</v>
      </c>
      <c r="B1590" s="195" t="str">
        <f ca="1">IFERROR(__xludf.DUMMYFUNCTION("""COMPUTED_VALUE"""),"Victoria Gomes")</f>
        <v>Victoria Gomes</v>
      </c>
      <c r="C1590" s="189">
        <f ca="1">IFERROR(__xludf.DUMMYFUNCTION("""COMPUTED_VALUE"""),8)</f>
        <v>8</v>
      </c>
      <c r="D1590" s="189" t="str">
        <f ca="1">IFERROR(__xludf.DUMMYFUNCTION("""COMPUTED_VALUE"""),"G")</f>
        <v>G</v>
      </c>
      <c r="E1590" s="189" t="str">
        <f ca="1">IFERROR(__xludf.DUMMYFUNCTION("""COMPUTED_VALUE"""),"F")</f>
        <v>F</v>
      </c>
      <c r="F1590" s="189" t="str">
        <f ca="1">IFERROR(__xludf.DUMMYFUNCTION("""COMPUTED_VALUE"""),"J")</f>
        <v>J</v>
      </c>
      <c r="G1590" s="189">
        <f ca="1">IFERROR(__xludf.DUMMYFUNCTION("""COMPUTED_VALUE"""),7)</f>
        <v>7</v>
      </c>
      <c r="H1590" s="196" t="s">
        <v>664</v>
      </c>
      <c r="I1590" s="196"/>
      <c r="J1590" s="196" t="s">
        <v>29</v>
      </c>
      <c r="K1590" s="196"/>
      <c r="L1590" s="196" t="str">
        <v xml:space="preserve"> 39.85</v>
      </c>
      <c r="M1590" s="196"/>
    </row>
    <row r="1591" spans="1:13" ht="14.4" x14ac:dyDescent="0.3">
      <c r="A1591" s="189" t="str">
        <f ca="1">IFERROR(__xludf.DUMMYFUNCTION("""COMPUTED_VALUE"""),"RFD")</f>
        <v>RFD</v>
      </c>
      <c r="B1591" s="195" t="str">
        <f ca="1">IFERROR(__xludf.DUMMYFUNCTION("""COMPUTED_VALUE"""),"Austin Brooks")</f>
        <v>Austin Brooks</v>
      </c>
      <c r="C1591" s="189">
        <f ca="1">IFERROR(__xludf.DUMMYFUNCTION("""COMPUTED_VALUE"""),9)</f>
        <v>9</v>
      </c>
      <c r="D1591" s="189" t="str">
        <f ca="1">IFERROR(__xludf.DUMMYFUNCTION("""COMPUTED_VALUE"""),"B")</f>
        <v>B</v>
      </c>
      <c r="E1591" s="189" t="str">
        <f ca="1">IFERROR(__xludf.DUMMYFUNCTION("""COMPUTED_VALUE"""),"F")</f>
        <v>F</v>
      </c>
      <c r="F1591" s="189" t="str">
        <f ca="1">IFERROR(__xludf.DUMMYFUNCTION("""COMPUTED_VALUE"""),"J")</f>
        <v>J</v>
      </c>
      <c r="G1591" s="189">
        <f ca="1">IFERROR(__xludf.DUMMYFUNCTION("""COMPUTED_VALUE"""),7)</f>
        <v>7</v>
      </c>
      <c r="H1591" s="196" t="s">
        <v>665</v>
      </c>
      <c r="I1591" s="196"/>
      <c r="J1591" s="196" t="s">
        <v>29</v>
      </c>
      <c r="K1591" s="196"/>
      <c r="L1591" s="196" t="str">
        <v xml:space="preserve"> 46.70</v>
      </c>
      <c r="M1591" s="196"/>
    </row>
    <row r="1592" spans="1:13" ht="14.4" x14ac:dyDescent="0.3">
      <c r="A1592" s="189" t="str">
        <f ca="1">IFERROR(__xludf.DUMMYFUNCTION("""COMPUTED_VALUE"""),"RFD")</f>
        <v>RFD</v>
      </c>
      <c r="B1592" s="195" t="str">
        <f ca="1">IFERROR(__xludf.DUMMYFUNCTION("""COMPUTED_VALUE"""),"Colby Steffen")</f>
        <v>Colby Steffen</v>
      </c>
      <c r="C1592" s="189">
        <f ca="1">IFERROR(__xludf.DUMMYFUNCTION("""COMPUTED_VALUE"""),9)</f>
        <v>9</v>
      </c>
      <c r="D1592" s="189" t="str">
        <f ca="1">IFERROR(__xludf.DUMMYFUNCTION("""COMPUTED_VALUE"""),"B")</f>
        <v>B</v>
      </c>
      <c r="E1592" s="189" t="str">
        <f ca="1">IFERROR(__xludf.DUMMYFUNCTION("""COMPUTED_VALUE"""),"F")</f>
        <v>F</v>
      </c>
      <c r="F1592" s="189" t="str">
        <f ca="1">IFERROR(__xludf.DUMMYFUNCTION("""COMPUTED_VALUE"""),"J")</f>
        <v>J</v>
      </c>
      <c r="G1592" s="189">
        <f ca="1">IFERROR(__xludf.DUMMYFUNCTION("""COMPUTED_VALUE"""),7)</f>
        <v>7</v>
      </c>
      <c r="H1592" s="196" t="s">
        <v>164</v>
      </c>
      <c r="I1592" s="196"/>
      <c r="J1592" s="196" t="s">
        <v>29</v>
      </c>
      <c r="K1592" s="196"/>
      <c r="L1592" s="196" t="str">
        <v xml:space="preserve"> 53.25</v>
      </c>
      <c r="M1592" s="196"/>
    </row>
    <row r="1593" spans="1:13" ht="14.4" x14ac:dyDescent="0.3">
      <c r="A1593" s="189" t="str">
        <f ca="1">IFERROR(__xludf.DUMMYFUNCTION("""COMPUTED_VALUE"""),"RFD")</f>
        <v>RFD</v>
      </c>
      <c r="B1593" s="195" t="str">
        <f ca="1">IFERROR(__xludf.DUMMYFUNCTION("""COMPUTED_VALUE"""),"Cole Fegan")</f>
        <v>Cole Fegan</v>
      </c>
      <c r="C1593" s="189">
        <f ca="1">IFERROR(__xludf.DUMMYFUNCTION("""COMPUTED_VALUE"""),10)</f>
        <v>10</v>
      </c>
      <c r="D1593" s="189" t="str">
        <f ca="1">IFERROR(__xludf.DUMMYFUNCTION("""COMPUTED_VALUE"""),"B")</f>
        <v>B</v>
      </c>
      <c r="E1593" s="189" t="str">
        <f ca="1">IFERROR(__xludf.DUMMYFUNCTION("""COMPUTED_VALUE"""),"F")</f>
        <v>F</v>
      </c>
      <c r="F1593" s="189" t="str">
        <f ca="1">IFERROR(__xludf.DUMMYFUNCTION("""COMPUTED_VALUE"""),"J")</f>
        <v>J</v>
      </c>
      <c r="G1593" s="189">
        <f ca="1">IFERROR(__xludf.DUMMYFUNCTION("""COMPUTED_VALUE"""),7)</f>
        <v>7</v>
      </c>
      <c r="H1593" s="196"/>
      <c r="I1593" s="196"/>
      <c r="J1593" s="196"/>
      <c r="K1593" s="196"/>
      <c r="L1593" s="196" t="str">
        <v/>
      </c>
      <c r="M1593" s="196"/>
    </row>
    <row r="1594" spans="1:13" ht="14.4" x14ac:dyDescent="0.3">
      <c r="A1594" s="189" t="str">
        <f ca="1">IFERROR(__xludf.DUMMYFUNCTION("""COMPUTED_VALUE"""),"RFD")</f>
        <v>RFD</v>
      </c>
      <c r="B1594" s="195" t="str">
        <f ca="1">IFERROR(__xludf.DUMMYFUNCTION("""COMPUTED_VALUE"""),"James Shrader")</f>
        <v>James Shrader</v>
      </c>
      <c r="C1594" s="189">
        <f ca="1">IFERROR(__xludf.DUMMYFUNCTION("""COMPUTED_VALUE"""),10)</f>
        <v>10</v>
      </c>
      <c r="D1594" s="189" t="str">
        <f ca="1">IFERROR(__xludf.DUMMYFUNCTION("""COMPUTED_VALUE"""),"B")</f>
        <v>B</v>
      </c>
      <c r="E1594" s="189" t="str">
        <f ca="1">IFERROR(__xludf.DUMMYFUNCTION("""COMPUTED_VALUE"""),"F")</f>
        <v>F</v>
      </c>
      <c r="F1594" s="189" t="str">
        <f ca="1">IFERROR(__xludf.DUMMYFUNCTION("""COMPUTED_VALUE"""),"J")</f>
        <v>J</v>
      </c>
      <c r="G1594" s="189">
        <f ca="1">IFERROR(__xludf.DUMMYFUNCTION("""COMPUTED_VALUE"""),7)</f>
        <v>7</v>
      </c>
      <c r="H1594" s="196"/>
      <c r="I1594" s="196"/>
      <c r="J1594" s="196"/>
      <c r="K1594" s="196"/>
      <c r="L1594" s="196" t="str">
        <v/>
      </c>
      <c r="M1594" s="196"/>
    </row>
    <row r="1595" spans="1:13" ht="14.4" x14ac:dyDescent="0.3">
      <c r="A1595" s="189" t="str">
        <f ca="1">IFERROR(__xludf.DUMMYFUNCTION("""COMPUTED_VALUE"""),"RFD")</f>
        <v>RFD</v>
      </c>
      <c r="B1595" s="195" t="str">
        <f ca="1">IFERROR(__xludf.DUMMYFUNCTION("""COMPUTED_VALUE"""),"Levi Lesser")</f>
        <v>Levi Lesser</v>
      </c>
      <c r="C1595" s="189">
        <f ca="1">IFERROR(__xludf.DUMMYFUNCTION("""COMPUTED_VALUE"""),9)</f>
        <v>9</v>
      </c>
      <c r="D1595" s="189" t="str">
        <f ca="1">IFERROR(__xludf.DUMMYFUNCTION("""COMPUTED_VALUE"""),"B")</f>
        <v>B</v>
      </c>
      <c r="E1595" s="189" t="str">
        <f ca="1">IFERROR(__xludf.DUMMYFUNCTION("""COMPUTED_VALUE"""),"F")</f>
        <v>F</v>
      </c>
      <c r="F1595" s="189" t="str">
        <f ca="1">IFERROR(__xludf.DUMMYFUNCTION("""COMPUTED_VALUE"""),"J")</f>
        <v>J</v>
      </c>
      <c r="G1595" s="189">
        <f ca="1">IFERROR(__xludf.DUMMYFUNCTION("""COMPUTED_VALUE"""),7)</f>
        <v>7</v>
      </c>
      <c r="H1595" s="196"/>
      <c r="I1595" s="196"/>
      <c r="J1595" s="196"/>
      <c r="K1595" s="196"/>
      <c r="L1595" s="196" t="str">
        <v/>
      </c>
      <c r="M1595" s="196"/>
    </row>
    <row r="1596" spans="1:13" ht="14.4" x14ac:dyDescent="0.3">
      <c r="A1596" s="189" t="str">
        <f ca="1">IFERROR(__xludf.DUMMYFUNCTION("""COMPUTED_VALUE"""),"RFD")</f>
        <v>RFD</v>
      </c>
      <c r="B1596" s="195" t="str">
        <f ca="1">IFERROR(__xludf.DUMMYFUNCTION("""COMPUTED_VALUE"""),"Max Robinett")</f>
        <v>Max Robinett</v>
      </c>
      <c r="C1596" s="189">
        <f ca="1">IFERROR(__xludf.DUMMYFUNCTION("""COMPUTED_VALUE"""),8)</f>
        <v>8</v>
      </c>
      <c r="D1596" s="189" t="str">
        <f ca="1">IFERROR(__xludf.DUMMYFUNCTION("""COMPUTED_VALUE"""),"B")</f>
        <v>B</v>
      </c>
      <c r="E1596" s="189" t="str">
        <f ca="1">IFERROR(__xludf.DUMMYFUNCTION("""COMPUTED_VALUE"""),"F")</f>
        <v>F</v>
      </c>
      <c r="F1596" s="189" t="str">
        <f ca="1">IFERROR(__xludf.DUMMYFUNCTION("""COMPUTED_VALUE"""),"J")</f>
        <v>J</v>
      </c>
      <c r="G1596" s="189">
        <f ca="1">IFERROR(__xludf.DUMMYFUNCTION("""COMPUTED_VALUE"""),7)</f>
        <v>7</v>
      </c>
      <c r="H1596" s="196" t="s">
        <v>666</v>
      </c>
      <c r="I1596" s="196"/>
      <c r="J1596" s="196" t="s">
        <v>29</v>
      </c>
      <c r="K1596" s="196"/>
      <c r="L1596" s="196" t="str">
        <v xml:space="preserve"> 40.35</v>
      </c>
      <c r="M1596" s="196"/>
    </row>
    <row r="1597" spans="1:13" ht="14.4" x14ac:dyDescent="0.3">
      <c r="A1597" s="189" t="str">
        <f ca="1">IFERROR(__xludf.DUMMYFUNCTION("""COMPUTED_VALUE"""),"RFD")</f>
        <v>RFD</v>
      </c>
      <c r="B1597" s="195" t="str">
        <f ca="1">IFERROR(__xludf.DUMMYFUNCTION("""COMPUTED_VALUE"""),"Sam Stankus")</f>
        <v>Sam Stankus</v>
      </c>
      <c r="C1597" s="189">
        <f ca="1">IFERROR(__xludf.DUMMYFUNCTION("""COMPUTED_VALUE"""),9)</f>
        <v>9</v>
      </c>
      <c r="D1597" s="189" t="str">
        <f ca="1">IFERROR(__xludf.DUMMYFUNCTION("""COMPUTED_VALUE"""),"B")</f>
        <v>B</v>
      </c>
      <c r="E1597" s="189" t="str">
        <f ca="1">IFERROR(__xludf.DUMMYFUNCTION("""COMPUTED_VALUE"""),"F")</f>
        <v>F</v>
      </c>
      <c r="F1597" s="189" t="str">
        <f ca="1">IFERROR(__xludf.DUMMYFUNCTION("""COMPUTED_VALUE"""),"J")</f>
        <v>J</v>
      </c>
      <c r="G1597" s="189">
        <f ca="1">IFERROR(__xludf.DUMMYFUNCTION("""COMPUTED_VALUE"""),7)</f>
        <v>7</v>
      </c>
      <c r="H1597" s="196"/>
      <c r="I1597" s="196"/>
      <c r="J1597" s="196"/>
      <c r="K1597" s="196"/>
      <c r="L1597" s="196" t="str">
        <v/>
      </c>
      <c r="M1597" s="196"/>
    </row>
    <row r="1598" spans="1:13" ht="14.4" x14ac:dyDescent="0.3">
      <c r="A1598" s="189" t="str">
        <f ca="1">IFERROR(__xludf.DUMMYFUNCTION("""COMPUTED_VALUE"""),"RFD")</f>
        <v>RFD</v>
      </c>
      <c r="B1598" s="195" t="str">
        <f ca="1">IFERROR(__xludf.DUMMYFUNCTION("""COMPUTED_VALUE"""),"Kathryn Fegan")</f>
        <v>Kathryn Fegan</v>
      </c>
      <c r="C1598" s="189">
        <f ca="1">IFERROR(__xludf.DUMMYFUNCTION("""COMPUTED_VALUE"""),13)</f>
        <v>13</v>
      </c>
      <c r="D1598" s="189" t="str">
        <f ca="1">IFERROR(__xludf.DUMMYFUNCTION("""COMPUTED_VALUE"""),"G")</f>
        <v>G</v>
      </c>
      <c r="E1598" s="189" t="str">
        <f ca="1">IFERROR(__xludf.DUMMYFUNCTION("""COMPUTED_VALUE"""),"I")</f>
        <v>I</v>
      </c>
      <c r="F1598" s="189" t="str">
        <f ca="1">IFERROR(__xludf.DUMMYFUNCTION("""COMPUTED_VALUE"""),"S")</f>
        <v>S</v>
      </c>
      <c r="G1598" s="189">
        <f ca="1">IFERROR(__xludf.DUMMYFUNCTION("""COMPUTED_VALUE"""),7)</f>
        <v>7</v>
      </c>
      <c r="H1598" s="196" t="s">
        <v>667</v>
      </c>
      <c r="I1598" s="196"/>
      <c r="J1598" s="196" t="s">
        <v>29</v>
      </c>
      <c r="K1598" s="196"/>
      <c r="L1598" s="196" t="str">
        <v xml:space="preserve"> 107.10</v>
      </c>
      <c r="M1598" s="196"/>
    </row>
    <row r="1599" spans="1:13" ht="14.4" x14ac:dyDescent="0.3">
      <c r="A1599" s="189" t="str">
        <f ca="1">IFERROR(__xludf.DUMMYFUNCTION("""COMPUTED_VALUE"""),"RFD")</f>
        <v>RFD</v>
      </c>
      <c r="B1599" s="195" t="str">
        <f ca="1">IFERROR(__xludf.DUMMYFUNCTION("""COMPUTED_VALUE"""),"Teny Davitian")</f>
        <v>Teny Davitian</v>
      </c>
      <c r="C1599" s="189">
        <f ca="1">IFERROR(__xludf.DUMMYFUNCTION("""COMPUTED_VALUE"""),13)</f>
        <v>13</v>
      </c>
      <c r="D1599" s="189" t="str">
        <f ca="1">IFERROR(__xludf.DUMMYFUNCTION("""COMPUTED_VALUE"""),"G")</f>
        <v>G</v>
      </c>
      <c r="E1599" s="189" t="str">
        <f ca="1">IFERROR(__xludf.DUMMYFUNCTION("""COMPUTED_VALUE"""),"I")</f>
        <v>I</v>
      </c>
      <c r="F1599" s="189" t="str">
        <f ca="1">IFERROR(__xludf.DUMMYFUNCTION("""COMPUTED_VALUE"""),"S")</f>
        <v>S</v>
      </c>
      <c r="G1599" s="189">
        <f ca="1">IFERROR(__xludf.DUMMYFUNCTION("""COMPUTED_VALUE"""),7)</f>
        <v>7</v>
      </c>
      <c r="H1599" s="196" t="s">
        <v>668</v>
      </c>
      <c r="I1599" s="196"/>
      <c r="J1599" s="196" t="s">
        <v>29</v>
      </c>
      <c r="K1599" s="196"/>
      <c r="L1599" s="196" t="str">
        <v xml:space="preserve"> 110.10</v>
      </c>
      <c r="M1599" s="196"/>
    </row>
    <row r="1600" spans="1:13" ht="14.4" x14ac:dyDescent="0.3">
      <c r="A1600" s="189" t="str">
        <f ca="1">IFERROR(__xludf.DUMMYFUNCTION("""COMPUTED_VALUE"""),"RFD")</f>
        <v>RFD</v>
      </c>
      <c r="B1600" s="195" t="str">
        <f ca="1">IFERROR(__xludf.DUMMYFUNCTION("""COMPUTED_VALUE"""),"Bradyn Brooks")</f>
        <v>Bradyn Brooks</v>
      </c>
      <c r="C1600" s="189">
        <f ca="1">IFERROR(__xludf.DUMMYFUNCTION("""COMPUTED_VALUE"""),14)</f>
        <v>14</v>
      </c>
      <c r="D1600" s="189" t="str">
        <f ca="1">IFERROR(__xludf.DUMMYFUNCTION("""COMPUTED_VALUE"""),"B")</f>
        <v>B</v>
      </c>
      <c r="E1600" s="189" t="str">
        <f ca="1">IFERROR(__xludf.DUMMYFUNCTION("""COMPUTED_VALUE"""),"I")</f>
        <v>I</v>
      </c>
      <c r="F1600" s="189" t="str">
        <f ca="1">IFERROR(__xludf.DUMMYFUNCTION("""COMPUTED_VALUE"""),"S")</f>
        <v>S</v>
      </c>
      <c r="G1600" s="189">
        <f ca="1">IFERROR(__xludf.DUMMYFUNCTION("""COMPUTED_VALUE"""),7)</f>
        <v>7</v>
      </c>
      <c r="H1600" s="196" t="s">
        <v>669</v>
      </c>
      <c r="I1600" s="196"/>
      <c r="J1600" s="196" t="s">
        <v>29</v>
      </c>
      <c r="K1600" s="196"/>
      <c r="L1600" s="196" t="str">
        <v xml:space="preserve"> 88.40</v>
      </c>
      <c r="M1600" s="196"/>
    </row>
    <row r="1601" spans="1:13" ht="14.4" x14ac:dyDescent="0.3">
      <c r="A1601" s="189" t="str">
        <f ca="1">IFERROR(__xludf.DUMMYFUNCTION("""COMPUTED_VALUE"""),"RFD")</f>
        <v>RFD</v>
      </c>
      <c r="B1601" s="195" t="str">
        <f ca="1">IFERROR(__xludf.DUMMYFUNCTION("""COMPUTED_VALUE"""),"Henry Quillen")</f>
        <v>Henry Quillen</v>
      </c>
      <c r="C1601" s="189">
        <f ca="1">IFERROR(__xludf.DUMMYFUNCTION("""COMPUTED_VALUE"""),13)</f>
        <v>13</v>
      </c>
      <c r="D1601" s="189" t="str">
        <f ca="1">IFERROR(__xludf.DUMMYFUNCTION("""COMPUTED_VALUE"""),"B")</f>
        <v>B</v>
      </c>
      <c r="E1601" s="189" t="str">
        <f ca="1">IFERROR(__xludf.DUMMYFUNCTION("""COMPUTED_VALUE"""),"I")</f>
        <v>I</v>
      </c>
      <c r="F1601" s="189" t="str">
        <f ca="1">IFERROR(__xludf.DUMMYFUNCTION("""COMPUTED_VALUE"""),"S")</f>
        <v>S</v>
      </c>
      <c r="G1601" s="189">
        <f ca="1">IFERROR(__xludf.DUMMYFUNCTION("""COMPUTED_VALUE"""),7)</f>
        <v>7</v>
      </c>
      <c r="H1601" s="196"/>
      <c r="I1601" s="196"/>
      <c r="J1601" s="196"/>
      <c r="K1601" s="196"/>
      <c r="L1601" s="196" t="str">
        <v/>
      </c>
      <c r="M1601" s="196"/>
    </row>
    <row r="1602" spans="1:13" ht="14.4" x14ac:dyDescent="0.3">
      <c r="A1602" s="189" t="str">
        <f ca="1">IFERROR(__xludf.DUMMYFUNCTION("""COMPUTED_VALUE"""),"RFD")</f>
        <v>RFD</v>
      </c>
      <c r="B1602" s="195" t="str">
        <f ca="1">IFERROR(__xludf.DUMMYFUNCTION("""COMPUTED_VALUE"""),"Acadia Taylor")</f>
        <v>Acadia Taylor</v>
      </c>
      <c r="C1602" s="189">
        <f ca="1">IFERROR(__xludf.DUMMYFUNCTION("""COMPUTED_VALUE"""),11)</f>
        <v>11</v>
      </c>
      <c r="D1602" s="189" t="str">
        <f ca="1">IFERROR(__xludf.DUMMYFUNCTION("""COMPUTED_VALUE"""),"G")</f>
        <v>G</v>
      </c>
      <c r="E1602" s="189" t="str">
        <f ca="1">IFERROR(__xludf.DUMMYFUNCTION("""COMPUTED_VALUE"""),"J")</f>
        <v>J</v>
      </c>
      <c r="F1602" s="189" t="str">
        <f ca="1">IFERROR(__xludf.DUMMYFUNCTION("""COMPUTED_VALUE"""),"I")</f>
        <v>I</v>
      </c>
      <c r="G1602" s="189">
        <f ca="1">IFERROR(__xludf.DUMMYFUNCTION("""COMPUTED_VALUE"""),7)</f>
        <v>7</v>
      </c>
      <c r="H1602" s="196" t="s">
        <v>155</v>
      </c>
      <c r="I1602" s="196"/>
      <c r="J1602" s="196" t="s">
        <v>29</v>
      </c>
      <c r="K1602" s="196"/>
      <c r="L1602" s="196" t="str">
        <v xml:space="preserve"> 84.35</v>
      </c>
      <c r="M1602" s="196"/>
    </row>
    <row r="1603" spans="1:13" ht="14.4" x14ac:dyDescent="0.3">
      <c r="A1603" s="189" t="str">
        <f ca="1">IFERROR(__xludf.DUMMYFUNCTION("""COMPUTED_VALUE"""),"RFD")</f>
        <v>RFD</v>
      </c>
      <c r="B1603" s="195" t="str">
        <f ca="1">IFERROR(__xludf.DUMMYFUNCTION("""COMPUTED_VALUE"""),"Daniel Pinto")</f>
        <v>Daniel Pinto</v>
      </c>
      <c r="C1603" s="189">
        <f ca="1">IFERROR(__xludf.DUMMYFUNCTION("""COMPUTED_VALUE"""),12)</f>
        <v>12</v>
      </c>
      <c r="D1603" s="189" t="str">
        <f ca="1">IFERROR(__xludf.DUMMYFUNCTION("""COMPUTED_VALUE"""),"B")</f>
        <v>B</v>
      </c>
      <c r="E1603" s="189" t="str">
        <f ca="1">IFERROR(__xludf.DUMMYFUNCTION("""COMPUTED_VALUE"""),"J")</f>
        <v>J</v>
      </c>
      <c r="F1603" s="189" t="str">
        <f ca="1">IFERROR(__xludf.DUMMYFUNCTION("""COMPUTED_VALUE"""),"I")</f>
        <v>I</v>
      </c>
      <c r="G1603" s="189">
        <f ca="1">IFERROR(__xludf.DUMMYFUNCTION("""COMPUTED_VALUE"""),7)</f>
        <v>7</v>
      </c>
      <c r="H1603" s="196"/>
      <c r="I1603" s="196"/>
      <c r="J1603" s="196"/>
      <c r="K1603" s="196"/>
      <c r="L1603" s="196" t="str">
        <v/>
      </c>
      <c r="M1603" s="196"/>
    </row>
    <row r="1604" spans="1:13" ht="14.4" x14ac:dyDescent="0.3">
      <c r="A1604" s="189" t="str">
        <f ca="1">IFERROR(__xludf.DUMMYFUNCTION("""COMPUTED_VALUE"""),"RFD")</f>
        <v>RFD</v>
      </c>
      <c r="B1604" s="195" t="str">
        <f ca="1">IFERROR(__xludf.DUMMYFUNCTION("""COMPUTED_VALUE"""),"Kamran Martin")</f>
        <v>Kamran Martin</v>
      </c>
      <c r="C1604" s="189">
        <f ca="1">IFERROR(__xludf.DUMMYFUNCTION("""COMPUTED_VALUE"""),11)</f>
        <v>11</v>
      </c>
      <c r="D1604" s="189" t="str">
        <f ca="1">IFERROR(__xludf.DUMMYFUNCTION("""COMPUTED_VALUE"""),"B")</f>
        <v>B</v>
      </c>
      <c r="E1604" s="189" t="str">
        <f ca="1">IFERROR(__xludf.DUMMYFUNCTION("""COMPUTED_VALUE"""),"J")</f>
        <v>J</v>
      </c>
      <c r="F1604" s="189" t="str">
        <f ca="1">IFERROR(__xludf.DUMMYFUNCTION("""COMPUTED_VALUE"""),"I")</f>
        <v>I</v>
      </c>
      <c r="G1604" s="189">
        <f ca="1">IFERROR(__xludf.DUMMYFUNCTION("""COMPUTED_VALUE"""),7)</f>
        <v>7</v>
      </c>
      <c r="H1604" s="196"/>
      <c r="I1604" s="196"/>
      <c r="J1604" s="196"/>
      <c r="K1604" s="196"/>
      <c r="L1604" s="196" t="str">
        <v/>
      </c>
      <c r="M1604" s="196"/>
    </row>
    <row r="1605" spans="1:13" ht="14.4" x14ac:dyDescent="0.3">
      <c r="A1605" s="189" t="str">
        <f ca="1">IFERROR(__xludf.DUMMYFUNCTION("""COMPUTED_VALUE"""),"RFD")</f>
        <v>RFD</v>
      </c>
      <c r="B1605" s="195" t="str">
        <f ca="1">IFERROR(__xludf.DUMMYFUNCTION("""COMPUTED_VALUE"""),"Michael Commette")</f>
        <v>Michael Commette</v>
      </c>
      <c r="C1605" s="189">
        <f ca="1">IFERROR(__xludf.DUMMYFUNCTION("""COMPUTED_VALUE"""),12)</f>
        <v>12</v>
      </c>
      <c r="D1605" s="189" t="str">
        <f ca="1">IFERROR(__xludf.DUMMYFUNCTION("""COMPUTED_VALUE"""),"B")</f>
        <v>B</v>
      </c>
      <c r="E1605" s="189" t="str">
        <f ca="1">IFERROR(__xludf.DUMMYFUNCTION("""COMPUTED_VALUE"""),"J")</f>
        <v>J</v>
      </c>
      <c r="F1605" s="189" t="str">
        <f ca="1">IFERROR(__xludf.DUMMYFUNCTION("""COMPUTED_VALUE"""),"I")</f>
        <v>I</v>
      </c>
      <c r="G1605" s="189">
        <f ca="1">IFERROR(__xludf.DUMMYFUNCTION("""COMPUTED_VALUE"""),7)</f>
        <v>7</v>
      </c>
      <c r="H1605" s="196" t="s">
        <v>670</v>
      </c>
      <c r="I1605" s="196"/>
      <c r="J1605" s="196" t="s">
        <v>29</v>
      </c>
      <c r="K1605" s="196"/>
      <c r="L1605" s="196" t="str">
        <v xml:space="preserve"> 74.75</v>
      </c>
      <c r="M1605" s="196"/>
    </row>
    <row r="1606" spans="1:13" ht="14.4" x14ac:dyDescent="0.3">
      <c r="A1606" s="189" t="str">
        <f ca="1">IFERROR(__xludf.DUMMYFUNCTION("""COMPUTED_VALUE"""),"RFD")</f>
        <v>RFD</v>
      </c>
      <c r="B1606" s="195" t="str">
        <f ca="1">IFERROR(__xludf.DUMMYFUNCTION("""COMPUTED_VALUE"""),"Srihan Bubuk")</f>
        <v>Srihan Bubuk</v>
      </c>
      <c r="C1606" s="189">
        <f ca="1">IFERROR(__xludf.DUMMYFUNCTION("""COMPUTED_VALUE"""),12)</f>
        <v>12</v>
      </c>
      <c r="D1606" s="189" t="str">
        <f ca="1">IFERROR(__xludf.DUMMYFUNCTION("""COMPUTED_VALUE"""),"B")</f>
        <v>B</v>
      </c>
      <c r="E1606" s="189" t="str">
        <f ca="1">IFERROR(__xludf.DUMMYFUNCTION("""COMPUTED_VALUE"""),"J")</f>
        <v>J</v>
      </c>
      <c r="F1606" s="189" t="str">
        <f ca="1">IFERROR(__xludf.DUMMYFUNCTION("""COMPUTED_VALUE"""),"I")</f>
        <v>I</v>
      </c>
      <c r="G1606" s="189">
        <f ca="1">IFERROR(__xludf.DUMMYFUNCTION("""COMPUTED_VALUE"""),7)</f>
        <v>7</v>
      </c>
      <c r="H1606" s="196"/>
      <c r="I1606" s="196"/>
      <c r="J1606" s="196"/>
      <c r="K1606" s="196"/>
      <c r="L1606" s="196" t="str">
        <v/>
      </c>
      <c r="M1606" s="196"/>
    </row>
    <row r="1607" spans="1:13" ht="14.4" x14ac:dyDescent="0.3">
      <c r="A1607" s="189" t="str">
        <f ca="1">IFERROR(__xludf.DUMMYFUNCTION("""COMPUTED_VALUE"""),"RFD")</f>
        <v>RFD</v>
      </c>
      <c r="B1607" s="195" t="str">
        <f ca="1">IFERROR(__xludf.DUMMYFUNCTION("""COMPUTED_VALUE"""),"Zach Lesser")</f>
        <v>Zach Lesser</v>
      </c>
      <c r="C1607" s="189">
        <f ca="1">IFERROR(__xludf.DUMMYFUNCTION("""COMPUTED_VALUE"""),12)</f>
        <v>12</v>
      </c>
      <c r="D1607" s="189" t="str">
        <f ca="1">IFERROR(__xludf.DUMMYFUNCTION("""COMPUTED_VALUE"""),"B")</f>
        <v>B</v>
      </c>
      <c r="E1607" s="189" t="str">
        <f ca="1">IFERROR(__xludf.DUMMYFUNCTION("""COMPUTED_VALUE"""),"J")</f>
        <v>J</v>
      </c>
      <c r="F1607" s="189" t="str">
        <f ca="1">IFERROR(__xludf.DUMMYFUNCTION("""COMPUTED_VALUE"""),"I")</f>
        <v>I</v>
      </c>
      <c r="G1607" s="189">
        <f ca="1">IFERROR(__xludf.DUMMYFUNCTION("""COMPUTED_VALUE"""),7)</f>
        <v>7</v>
      </c>
      <c r="H1607" s="196" t="s">
        <v>671</v>
      </c>
      <c r="I1607" s="196"/>
      <c r="J1607" s="196" t="s">
        <v>29</v>
      </c>
      <c r="K1607" s="196"/>
      <c r="L1607" s="196" t="str">
        <v xml:space="preserve"> 74.20</v>
      </c>
      <c r="M1607" s="196"/>
    </row>
    <row r="1608" spans="1:13" ht="14.4" x14ac:dyDescent="0.3">
      <c r="A1608" s="189" t="str">
        <f ca="1">IFERROR(__xludf.DUMMYFUNCTION("""COMPUTED_VALUE"""),"RFD")</f>
        <v>RFD</v>
      </c>
      <c r="B1608" s="195" t="str">
        <f ca="1">IFERROR(__xludf.DUMMYFUNCTION("""COMPUTED_VALUE"""),"Adelaide Frank")</f>
        <v>Adelaide Frank</v>
      </c>
      <c r="C1608" s="189">
        <f ca="1">IFERROR(__xludf.DUMMYFUNCTION("""COMPUTED_VALUE"""),16)</f>
        <v>16</v>
      </c>
      <c r="D1608" s="189" t="str">
        <f ca="1">IFERROR(__xludf.DUMMYFUNCTION("""COMPUTED_VALUE"""),"G")</f>
        <v>G</v>
      </c>
      <c r="E1608" s="189" t="str">
        <f ca="1">IFERROR(__xludf.DUMMYFUNCTION("""COMPUTED_VALUE"""),"S")</f>
        <v>S</v>
      </c>
      <c r="F1608" s="189" t="str">
        <f ca="1">IFERROR(__xludf.DUMMYFUNCTION("""COMPUTED_VALUE"""),"S")</f>
        <v>S</v>
      </c>
      <c r="G1608" s="189">
        <f ca="1">IFERROR(__xludf.DUMMYFUNCTION("""COMPUTED_VALUE"""),7)</f>
        <v>7</v>
      </c>
      <c r="H1608" s="196" t="s">
        <v>672</v>
      </c>
      <c r="I1608" s="196"/>
      <c r="J1608" s="196" t="s">
        <v>29</v>
      </c>
      <c r="K1608" s="196"/>
      <c r="L1608" s="196" t="str">
        <v xml:space="preserve"> 104.80</v>
      </c>
      <c r="M1608" s="196"/>
    </row>
    <row r="1609" spans="1:13" ht="14.4" x14ac:dyDescent="0.3">
      <c r="A1609" s="189" t="str">
        <f ca="1">IFERROR(__xludf.DUMMYFUNCTION("""COMPUTED_VALUE"""),"RFD")</f>
        <v>RFD</v>
      </c>
      <c r="B1609" s="195" t="str">
        <f ca="1">IFERROR(__xludf.DUMMYFUNCTION("""COMPUTED_VALUE"""),"Heather Calderon")</f>
        <v>Heather Calderon</v>
      </c>
      <c r="C1609" s="189">
        <f ca="1">IFERROR(__xludf.DUMMYFUNCTION("""COMPUTED_VALUE"""),18)</f>
        <v>18</v>
      </c>
      <c r="D1609" s="189" t="str">
        <f ca="1">IFERROR(__xludf.DUMMYFUNCTION("""COMPUTED_VALUE"""),"G")</f>
        <v>G</v>
      </c>
      <c r="E1609" s="189" t="str">
        <f ca="1">IFERROR(__xludf.DUMMYFUNCTION("""COMPUTED_VALUE"""),"S")</f>
        <v>S</v>
      </c>
      <c r="F1609" s="189" t="str">
        <f ca="1">IFERROR(__xludf.DUMMYFUNCTION("""COMPUTED_VALUE"""),"S")</f>
        <v>S</v>
      </c>
      <c r="G1609" s="189">
        <f ca="1">IFERROR(__xludf.DUMMYFUNCTION("""COMPUTED_VALUE"""),7)</f>
        <v>7</v>
      </c>
      <c r="H1609" s="196"/>
      <c r="I1609" s="196"/>
      <c r="J1609" s="196"/>
      <c r="K1609" s="196"/>
      <c r="L1609" s="196" t="str">
        <v/>
      </c>
      <c r="M1609" s="196"/>
    </row>
    <row r="1610" spans="1:13" ht="14.4" x14ac:dyDescent="0.3">
      <c r="A1610" s="189" t="str">
        <f ca="1">IFERROR(__xludf.DUMMYFUNCTION("""COMPUTED_VALUE"""),"RFD")</f>
        <v>RFD</v>
      </c>
      <c r="B1610" s="195" t="str">
        <f ca="1">IFERROR(__xludf.DUMMYFUNCTION("""COMPUTED_VALUE"""),"Taityn Speier")</f>
        <v>Taityn Speier</v>
      </c>
      <c r="C1610" s="189">
        <f ca="1">IFERROR(__xludf.DUMMYFUNCTION("""COMPUTED_VALUE"""),18)</f>
        <v>18</v>
      </c>
      <c r="D1610" s="189" t="str">
        <f ca="1">IFERROR(__xludf.DUMMYFUNCTION("""COMPUTED_VALUE"""),"G")</f>
        <v>G</v>
      </c>
      <c r="E1610" s="189" t="str">
        <f ca="1">IFERROR(__xludf.DUMMYFUNCTION("""COMPUTED_VALUE"""),"S")</f>
        <v>S</v>
      </c>
      <c r="F1610" s="189" t="str">
        <f ca="1">IFERROR(__xludf.DUMMYFUNCTION("""COMPUTED_VALUE"""),"S")</f>
        <v>S</v>
      </c>
      <c r="G1610" s="189">
        <f ca="1">IFERROR(__xludf.DUMMYFUNCTION("""COMPUTED_VALUE"""),7)</f>
        <v>7</v>
      </c>
      <c r="H1610" s="196"/>
      <c r="I1610" s="196"/>
      <c r="J1610" s="196"/>
      <c r="K1610" s="196"/>
      <c r="L1610" s="196" t="str">
        <v/>
      </c>
      <c r="M1610" s="196"/>
    </row>
    <row r="1611" spans="1:13" ht="14.4" x14ac:dyDescent="0.3">
      <c r="A1611" s="189" t="str">
        <f ca="1">IFERROR(__xludf.DUMMYFUNCTION("""COMPUTED_VALUE"""),"RFD")</f>
        <v>RFD</v>
      </c>
      <c r="B1611" s="195" t="str">
        <f ca="1">IFERROR(__xludf.DUMMYFUNCTION("""COMPUTED_VALUE"""),"Griffin Brown")</f>
        <v>Griffin Brown</v>
      </c>
      <c r="C1611" s="189">
        <f ca="1">IFERROR(__xludf.DUMMYFUNCTION("""COMPUTED_VALUE"""),18)</f>
        <v>18</v>
      </c>
      <c r="D1611" s="189" t="str">
        <f ca="1">IFERROR(__xludf.DUMMYFUNCTION("""COMPUTED_VALUE"""),"B")</f>
        <v>B</v>
      </c>
      <c r="E1611" s="189" t="str">
        <f ca="1">IFERROR(__xludf.DUMMYFUNCTION("""COMPUTED_VALUE"""),"S")</f>
        <v>S</v>
      </c>
      <c r="F1611" s="189" t="str">
        <f ca="1">IFERROR(__xludf.DUMMYFUNCTION("""COMPUTED_VALUE"""),"S")</f>
        <v>S</v>
      </c>
      <c r="G1611" s="189">
        <f ca="1">IFERROR(__xludf.DUMMYFUNCTION("""COMPUTED_VALUE"""),7)</f>
        <v>7</v>
      </c>
      <c r="H1611" s="196"/>
      <c r="I1611" s="196"/>
      <c r="J1611" s="196"/>
      <c r="K1611" s="196"/>
      <c r="L1611" s="196" t="str">
        <v/>
      </c>
      <c r="M1611" s="196"/>
    </row>
    <row r="1612" spans="1:13" ht="14.4" x14ac:dyDescent="0.3">
      <c r="A1612" s="189" t="str">
        <f ca="1">IFERROR(__xludf.DUMMYFUNCTION("""COMPUTED_VALUE"""),"RFD")</f>
        <v>RFD</v>
      </c>
      <c r="B1612" s="195" t="str">
        <f ca="1">IFERROR(__xludf.DUMMYFUNCTION("""COMPUTED_VALUE"""),"John Burns")</f>
        <v>John Burns</v>
      </c>
      <c r="C1612" s="189">
        <f ca="1">IFERROR(__xludf.DUMMYFUNCTION("""COMPUTED_VALUE"""),15)</f>
        <v>15</v>
      </c>
      <c r="D1612" s="189" t="str">
        <f ca="1">IFERROR(__xludf.DUMMYFUNCTION("""COMPUTED_VALUE"""),"B")</f>
        <v>B</v>
      </c>
      <c r="E1612" s="189" t="str">
        <f ca="1">IFERROR(__xludf.DUMMYFUNCTION("""COMPUTED_VALUE"""),"S")</f>
        <v>S</v>
      </c>
      <c r="F1612" s="189" t="str">
        <f ca="1">IFERROR(__xludf.DUMMYFUNCTION("""COMPUTED_VALUE"""),"S")</f>
        <v>S</v>
      </c>
      <c r="G1612" s="189">
        <f ca="1">IFERROR(__xludf.DUMMYFUNCTION("""COMPUTED_VALUE"""),7)</f>
        <v>7</v>
      </c>
      <c r="H1612" s="196" t="s">
        <v>673</v>
      </c>
      <c r="I1612" s="196"/>
      <c r="J1612" s="196" t="s">
        <v>29</v>
      </c>
      <c r="K1612" s="196"/>
      <c r="L1612" s="196" t="str">
        <v xml:space="preserve"> 116.40</v>
      </c>
      <c r="M1612" s="196"/>
    </row>
    <row r="1613" spans="1:13" ht="14.4" x14ac:dyDescent="0.3">
      <c r="A1613" s="189" t="str">
        <f ca="1">IFERROR(__xludf.DUMMYFUNCTION("""COMPUTED_VALUE"""),"RFD")</f>
        <v>RFD</v>
      </c>
      <c r="B1613" s="195" t="str">
        <f ca="1">IFERROR(__xludf.DUMMYFUNCTION("""COMPUTED_VALUE"""),"Wyatt Fegan")</f>
        <v>Wyatt Fegan</v>
      </c>
      <c r="C1613" s="189">
        <f ca="1">IFERROR(__xludf.DUMMYFUNCTION("""COMPUTED_VALUE"""),15)</f>
        <v>15</v>
      </c>
      <c r="D1613" s="189" t="str">
        <f ca="1">IFERROR(__xludf.DUMMYFUNCTION("""COMPUTED_VALUE"""),"B")</f>
        <v>B</v>
      </c>
      <c r="E1613" s="189" t="str">
        <f ca="1">IFERROR(__xludf.DUMMYFUNCTION("""COMPUTED_VALUE"""),"S")</f>
        <v>S</v>
      </c>
      <c r="F1613" s="189" t="str">
        <f ca="1">IFERROR(__xludf.DUMMYFUNCTION("""COMPUTED_VALUE"""),"S")</f>
        <v>S</v>
      </c>
      <c r="G1613" s="189">
        <f ca="1">IFERROR(__xludf.DUMMYFUNCTION("""COMPUTED_VALUE"""),7)</f>
        <v>7</v>
      </c>
      <c r="H1613" s="196"/>
      <c r="I1613" s="196"/>
      <c r="J1613" s="196"/>
      <c r="K1613" s="196"/>
      <c r="L1613" s="196" t="str">
        <v/>
      </c>
      <c r="M1613" s="196"/>
    </row>
    <row r="1614" spans="1:13" ht="14.4" x14ac:dyDescent="0.3">
      <c r="A1614" s="189" t="str">
        <f ca="1">IFERROR(__xludf.DUMMYFUNCTION("""COMPUTED_VALUE"""),"RH")</f>
        <v>RH</v>
      </c>
      <c r="B1614" s="195" t="str">
        <f ca="1">IFERROR(__xludf.DUMMYFUNCTION("""COMPUTED_VALUE"""),"Chloe Marshall")</f>
        <v>Chloe Marshall</v>
      </c>
      <c r="C1614" s="189">
        <f ca="1">IFERROR(__xludf.DUMMYFUNCTION("""COMPUTED_VALUE"""),10)</f>
        <v>10</v>
      </c>
      <c r="D1614" s="189" t="str">
        <f ca="1">IFERROR(__xludf.DUMMYFUNCTION("""COMPUTED_VALUE"""),"G")</f>
        <v>G</v>
      </c>
      <c r="E1614" s="189" t="str">
        <f ca="1">IFERROR(__xludf.DUMMYFUNCTION("""COMPUTED_VALUE"""),"F")</f>
        <v>F</v>
      </c>
      <c r="F1614" s="189" t="str">
        <f ca="1">IFERROR(__xludf.DUMMYFUNCTION("""COMPUTED_VALUE"""),"J")</f>
        <v>J</v>
      </c>
      <c r="G1614" s="189">
        <f ca="1">IFERROR(__xludf.DUMMYFUNCTION("""COMPUTED_VALUE"""),2)</f>
        <v>2</v>
      </c>
      <c r="H1614" s="196"/>
      <c r="I1614" s="196"/>
      <c r="J1614" s="196"/>
      <c r="K1614" s="196"/>
      <c r="L1614" s="196" t="str">
        <v/>
      </c>
      <c r="M1614" s="196"/>
    </row>
    <row r="1615" spans="1:13" ht="14.4" x14ac:dyDescent="0.3">
      <c r="A1615" s="189" t="str">
        <f ca="1">IFERROR(__xludf.DUMMYFUNCTION("""COMPUTED_VALUE"""),"RH")</f>
        <v>RH</v>
      </c>
      <c r="B1615" s="195" t="str">
        <f ca="1">IFERROR(__xludf.DUMMYFUNCTION("""COMPUTED_VALUE"""),"Claire Flanagan")</f>
        <v>Claire Flanagan</v>
      </c>
      <c r="C1615" s="189">
        <f ca="1">IFERROR(__xludf.DUMMYFUNCTION("""COMPUTED_VALUE"""),10)</f>
        <v>10</v>
      </c>
      <c r="D1615" s="189" t="str">
        <f ca="1">IFERROR(__xludf.DUMMYFUNCTION("""COMPUTED_VALUE"""),"G")</f>
        <v>G</v>
      </c>
      <c r="E1615" s="189" t="str">
        <f ca="1">IFERROR(__xludf.DUMMYFUNCTION("""COMPUTED_VALUE"""),"F")</f>
        <v>F</v>
      </c>
      <c r="F1615" s="189" t="str">
        <f ca="1">IFERROR(__xludf.DUMMYFUNCTION("""COMPUTED_VALUE"""),"J")</f>
        <v>J</v>
      </c>
      <c r="G1615" s="189">
        <f ca="1">IFERROR(__xludf.DUMMYFUNCTION("""COMPUTED_VALUE"""),2)</f>
        <v>2</v>
      </c>
      <c r="H1615" s="196"/>
      <c r="I1615" s="196"/>
      <c r="J1615" s="196"/>
      <c r="K1615" s="196"/>
      <c r="L1615" s="196" t="str">
        <v/>
      </c>
      <c r="M1615" s="196"/>
    </row>
    <row r="1616" spans="1:13" ht="14.4" x14ac:dyDescent="0.3">
      <c r="A1616" s="189" t="str">
        <f ca="1">IFERROR(__xludf.DUMMYFUNCTION("""COMPUTED_VALUE"""),"RH")</f>
        <v>RH</v>
      </c>
      <c r="B1616" s="195" t="str">
        <f ca="1">IFERROR(__xludf.DUMMYFUNCTION("""COMPUTED_VALUE"""),"Cora Plowman")</f>
        <v>Cora Plowman</v>
      </c>
      <c r="C1616" s="189">
        <f ca="1">IFERROR(__xludf.DUMMYFUNCTION("""COMPUTED_VALUE"""),9)</f>
        <v>9</v>
      </c>
      <c r="D1616" s="189" t="str">
        <f ca="1">IFERROR(__xludf.DUMMYFUNCTION("""COMPUTED_VALUE"""),"G")</f>
        <v>G</v>
      </c>
      <c r="E1616" s="189" t="str">
        <f ca="1">IFERROR(__xludf.DUMMYFUNCTION("""COMPUTED_VALUE"""),"F")</f>
        <v>F</v>
      </c>
      <c r="F1616" s="189" t="str">
        <f ca="1">IFERROR(__xludf.DUMMYFUNCTION("""COMPUTED_VALUE"""),"J")</f>
        <v>J</v>
      </c>
      <c r="G1616" s="189">
        <f ca="1">IFERROR(__xludf.DUMMYFUNCTION("""COMPUTED_VALUE"""),2)</f>
        <v>2</v>
      </c>
      <c r="H1616" s="196"/>
      <c r="I1616" s="196"/>
      <c r="J1616" s="196"/>
      <c r="K1616" s="196"/>
      <c r="L1616" s="196" t="str">
        <v/>
      </c>
      <c r="M1616" s="196"/>
    </row>
    <row r="1617" spans="1:13" ht="14.4" x14ac:dyDescent="0.3">
      <c r="A1617" s="189" t="str">
        <f ca="1">IFERROR(__xludf.DUMMYFUNCTION("""COMPUTED_VALUE"""),"RH")</f>
        <v>RH</v>
      </c>
      <c r="B1617" s="195" t="str">
        <f ca="1">IFERROR(__xludf.DUMMYFUNCTION("""COMPUTED_VALUE"""),"Evie Lynch")</f>
        <v>Evie Lynch</v>
      </c>
      <c r="C1617" s="189">
        <f ca="1">IFERROR(__xludf.DUMMYFUNCTION("""COMPUTED_VALUE"""),8)</f>
        <v>8</v>
      </c>
      <c r="D1617" s="189" t="str">
        <f ca="1">IFERROR(__xludf.DUMMYFUNCTION("""COMPUTED_VALUE"""),"G")</f>
        <v>G</v>
      </c>
      <c r="E1617" s="189" t="str">
        <f ca="1">IFERROR(__xludf.DUMMYFUNCTION("""COMPUTED_VALUE"""),"F")</f>
        <v>F</v>
      </c>
      <c r="F1617" s="189" t="str">
        <f ca="1">IFERROR(__xludf.DUMMYFUNCTION("""COMPUTED_VALUE"""),"J")</f>
        <v>J</v>
      </c>
      <c r="G1617" s="189">
        <f ca="1">IFERROR(__xludf.DUMMYFUNCTION("""COMPUTED_VALUE"""),2)</f>
        <v>2</v>
      </c>
      <c r="H1617" s="196"/>
      <c r="I1617" s="196"/>
      <c r="J1617" s="196"/>
      <c r="K1617" s="196"/>
      <c r="L1617" s="196" t="str">
        <v/>
      </c>
      <c r="M1617" s="196"/>
    </row>
    <row r="1618" spans="1:13" ht="14.4" x14ac:dyDescent="0.3">
      <c r="A1618" s="189" t="str">
        <f ca="1">IFERROR(__xludf.DUMMYFUNCTION("""COMPUTED_VALUE"""),"RH")</f>
        <v>RH</v>
      </c>
      <c r="B1618" s="195" t="str">
        <f ca="1">IFERROR(__xludf.DUMMYFUNCTION("""COMPUTED_VALUE"""),"Gabby Koclanes")</f>
        <v>Gabby Koclanes</v>
      </c>
      <c r="C1618" s="189">
        <f ca="1">IFERROR(__xludf.DUMMYFUNCTION("""COMPUTED_VALUE"""),10)</f>
        <v>10</v>
      </c>
      <c r="D1618" s="189" t="str">
        <f ca="1">IFERROR(__xludf.DUMMYFUNCTION("""COMPUTED_VALUE"""),"G")</f>
        <v>G</v>
      </c>
      <c r="E1618" s="189" t="str">
        <f ca="1">IFERROR(__xludf.DUMMYFUNCTION("""COMPUTED_VALUE"""),"F")</f>
        <v>F</v>
      </c>
      <c r="F1618" s="189" t="str">
        <f ca="1">IFERROR(__xludf.DUMMYFUNCTION("""COMPUTED_VALUE"""),"J")</f>
        <v>J</v>
      </c>
      <c r="G1618" s="189">
        <f ca="1">IFERROR(__xludf.DUMMYFUNCTION("""COMPUTED_VALUE"""),2)</f>
        <v>2</v>
      </c>
      <c r="H1618" s="196"/>
      <c r="I1618" s="196"/>
      <c r="J1618" s="196"/>
      <c r="K1618" s="196"/>
      <c r="L1618" s="196" t="str">
        <v/>
      </c>
      <c r="M1618" s="196"/>
    </row>
    <row r="1619" spans="1:13" ht="14.4" x14ac:dyDescent="0.3">
      <c r="A1619" s="189" t="str">
        <f ca="1">IFERROR(__xludf.DUMMYFUNCTION("""COMPUTED_VALUE"""),"RH")</f>
        <v>RH</v>
      </c>
      <c r="B1619" s="195" t="str">
        <f ca="1">IFERROR(__xludf.DUMMYFUNCTION("""COMPUTED_VALUE"""),"Hannah DeLong")</f>
        <v>Hannah DeLong</v>
      </c>
      <c r="C1619" s="189">
        <f ca="1">IFERROR(__xludf.DUMMYFUNCTION("""COMPUTED_VALUE"""),7)</f>
        <v>7</v>
      </c>
      <c r="D1619" s="189" t="str">
        <f ca="1">IFERROR(__xludf.DUMMYFUNCTION("""COMPUTED_VALUE"""),"G")</f>
        <v>G</v>
      </c>
      <c r="E1619" s="189" t="str">
        <f ca="1">IFERROR(__xludf.DUMMYFUNCTION("""COMPUTED_VALUE"""),"F")</f>
        <v>F</v>
      </c>
      <c r="F1619" s="189" t="str">
        <f ca="1">IFERROR(__xludf.DUMMYFUNCTION("""COMPUTED_VALUE"""),"J")</f>
        <v>J</v>
      </c>
      <c r="G1619" s="189">
        <f ca="1">IFERROR(__xludf.DUMMYFUNCTION("""COMPUTED_VALUE"""),2)</f>
        <v>2</v>
      </c>
      <c r="H1619" s="196"/>
      <c r="I1619" s="196"/>
      <c r="J1619" s="196"/>
      <c r="K1619" s="196"/>
      <c r="L1619" s="196" t="str">
        <v/>
      </c>
      <c r="M1619" s="196"/>
    </row>
    <row r="1620" spans="1:13" ht="14.4" x14ac:dyDescent="0.3">
      <c r="A1620" s="189" t="str">
        <f ca="1">IFERROR(__xludf.DUMMYFUNCTION("""COMPUTED_VALUE"""),"RH")</f>
        <v>RH</v>
      </c>
      <c r="B1620" s="195" t="str">
        <f ca="1">IFERROR(__xludf.DUMMYFUNCTION("""COMPUTED_VALUE"""),"Lillian Miller")</f>
        <v>Lillian Miller</v>
      </c>
      <c r="C1620" s="189">
        <f ca="1">IFERROR(__xludf.DUMMYFUNCTION("""COMPUTED_VALUE"""),6)</f>
        <v>6</v>
      </c>
      <c r="D1620" s="189" t="str">
        <f ca="1">IFERROR(__xludf.DUMMYFUNCTION("""COMPUTED_VALUE"""),"G")</f>
        <v>G</v>
      </c>
      <c r="E1620" s="189" t="str">
        <f ca="1">IFERROR(__xludf.DUMMYFUNCTION("""COMPUTED_VALUE"""),"F")</f>
        <v>F</v>
      </c>
      <c r="F1620" s="189" t="str">
        <f ca="1">IFERROR(__xludf.DUMMYFUNCTION("""COMPUTED_VALUE"""),"J")</f>
        <v>J</v>
      </c>
      <c r="G1620" s="189">
        <f ca="1">IFERROR(__xludf.DUMMYFUNCTION("""COMPUTED_VALUE"""),2)</f>
        <v>2</v>
      </c>
      <c r="H1620" s="196" t="s">
        <v>674</v>
      </c>
      <c r="I1620" s="196"/>
      <c r="J1620" s="196" t="s">
        <v>29</v>
      </c>
      <c r="K1620" s="196"/>
      <c r="L1620" s="196" t="str">
        <v xml:space="preserve"> 20.50</v>
      </c>
      <c r="M1620" s="196"/>
    </row>
    <row r="1621" spans="1:13" ht="14.4" x14ac:dyDescent="0.3">
      <c r="A1621" s="189" t="str">
        <f ca="1">IFERROR(__xludf.DUMMYFUNCTION("""COMPUTED_VALUE"""),"RH")</f>
        <v>RH</v>
      </c>
      <c r="B1621" s="195" t="str">
        <f ca="1">IFERROR(__xludf.DUMMYFUNCTION("""COMPUTED_VALUE"""),"Lily Boger")</f>
        <v>Lily Boger</v>
      </c>
      <c r="C1621" s="189">
        <f ca="1">IFERROR(__xludf.DUMMYFUNCTION("""COMPUTED_VALUE"""),10)</f>
        <v>10</v>
      </c>
      <c r="D1621" s="189" t="str">
        <f ca="1">IFERROR(__xludf.DUMMYFUNCTION("""COMPUTED_VALUE"""),"G")</f>
        <v>G</v>
      </c>
      <c r="E1621" s="189" t="str">
        <f ca="1">IFERROR(__xludf.DUMMYFUNCTION("""COMPUTED_VALUE"""),"F")</f>
        <v>F</v>
      </c>
      <c r="F1621" s="189" t="str">
        <f ca="1">IFERROR(__xludf.DUMMYFUNCTION("""COMPUTED_VALUE"""),"J")</f>
        <v>J</v>
      </c>
      <c r="G1621" s="189">
        <f ca="1">IFERROR(__xludf.DUMMYFUNCTION("""COMPUTED_VALUE"""),2)</f>
        <v>2</v>
      </c>
      <c r="H1621" s="196" t="s">
        <v>386</v>
      </c>
      <c r="I1621" s="196"/>
      <c r="J1621" s="196" t="s">
        <v>29</v>
      </c>
      <c r="K1621" s="196"/>
      <c r="L1621" s="196" t="str">
        <v xml:space="preserve"> 53.70</v>
      </c>
      <c r="M1621" s="196"/>
    </row>
    <row r="1622" spans="1:13" ht="14.4" x14ac:dyDescent="0.3">
      <c r="A1622" s="189" t="str">
        <f ca="1">IFERROR(__xludf.DUMMYFUNCTION("""COMPUTED_VALUE"""),"RH")</f>
        <v>RH</v>
      </c>
      <c r="B1622" s="195" t="str">
        <f ca="1">IFERROR(__xludf.DUMMYFUNCTION("""COMPUTED_VALUE"""),"Mara Fontanesi")</f>
        <v>Mara Fontanesi</v>
      </c>
      <c r="C1622" s="189">
        <f ca="1">IFERROR(__xludf.DUMMYFUNCTION("""COMPUTED_VALUE"""),6)</f>
        <v>6</v>
      </c>
      <c r="D1622" s="189" t="str">
        <f ca="1">IFERROR(__xludf.DUMMYFUNCTION("""COMPUTED_VALUE"""),"G")</f>
        <v>G</v>
      </c>
      <c r="E1622" s="189" t="str">
        <f ca="1">IFERROR(__xludf.DUMMYFUNCTION("""COMPUTED_VALUE"""),"F")</f>
        <v>F</v>
      </c>
      <c r="F1622" s="189" t="str">
        <f ca="1">IFERROR(__xludf.DUMMYFUNCTION("""COMPUTED_VALUE"""),"J")</f>
        <v>J</v>
      </c>
      <c r="G1622" s="189">
        <f ca="1">IFERROR(__xludf.DUMMYFUNCTION("""COMPUTED_VALUE"""),2)</f>
        <v>2</v>
      </c>
      <c r="H1622" s="196"/>
      <c r="I1622" s="196"/>
      <c r="J1622" s="196"/>
      <c r="K1622" s="196"/>
      <c r="L1622" s="196" t="str">
        <v/>
      </c>
      <c r="M1622" s="196"/>
    </row>
    <row r="1623" spans="1:13" ht="14.4" x14ac:dyDescent="0.3">
      <c r="A1623" s="189" t="str">
        <f ca="1">IFERROR(__xludf.DUMMYFUNCTION("""COMPUTED_VALUE"""),"RH")</f>
        <v>RH</v>
      </c>
      <c r="B1623" s="195" t="str">
        <f ca="1">IFERROR(__xludf.DUMMYFUNCTION("""COMPUTED_VALUE"""),"Megan Hurt")</f>
        <v>Megan Hurt</v>
      </c>
      <c r="C1623" s="189">
        <f ca="1">IFERROR(__xludf.DUMMYFUNCTION("""COMPUTED_VALUE"""),10)</f>
        <v>10</v>
      </c>
      <c r="D1623" s="189" t="str">
        <f ca="1">IFERROR(__xludf.DUMMYFUNCTION("""COMPUTED_VALUE"""),"G")</f>
        <v>G</v>
      </c>
      <c r="E1623" s="189" t="str">
        <f ca="1">IFERROR(__xludf.DUMMYFUNCTION("""COMPUTED_VALUE"""),"F")</f>
        <v>F</v>
      </c>
      <c r="F1623" s="189" t="str">
        <f ca="1">IFERROR(__xludf.DUMMYFUNCTION("""COMPUTED_VALUE"""),"J")</f>
        <v>J</v>
      </c>
      <c r="G1623" s="189">
        <f ca="1">IFERROR(__xludf.DUMMYFUNCTION("""COMPUTED_VALUE"""),2)</f>
        <v>2</v>
      </c>
      <c r="H1623" s="196" t="s">
        <v>675</v>
      </c>
      <c r="I1623" s="196"/>
      <c r="J1623" s="196" t="s">
        <v>29</v>
      </c>
      <c r="K1623" s="196"/>
      <c r="L1623" s="196" t="str">
        <v xml:space="preserve"> 36.45</v>
      </c>
      <c r="M1623" s="196"/>
    </row>
    <row r="1624" spans="1:13" ht="14.4" x14ac:dyDescent="0.3">
      <c r="A1624" s="189" t="str">
        <f ca="1">IFERROR(__xludf.DUMMYFUNCTION("""COMPUTED_VALUE"""),"RH")</f>
        <v>RH</v>
      </c>
      <c r="B1624" s="195" t="str">
        <f ca="1">IFERROR(__xludf.DUMMYFUNCTION("""COMPUTED_VALUE"""),"Scout Freeman")</f>
        <v>Scout Freeman</v>
      </c>
      <c r="C1624" s="189">
        <f ca="1">IFERROR(__xludf.DUMMYFUNCTION("""COMPUTED_VALUE"""),9)</f>
        <v>9</v>
      </c>
      <c r="D1624" s="189" t="str">
        <f ca="1">IFERROR(__xludf.DUMMYFUNCTION("""COMPUTED_VALUE"""),"G")</f>
        <v>G</v>
      </c>
      <c r="E1624" s="189" t="str">
        <f ca="1">IFERROR(__xludf.DUMMYFUNCTION("""COMPUTED_VALUE"""),"F")</f>
        <v>F</v>
      </c>
      <c r="F1624" s="189" t="str">
        <f ca="1">IFERROR(__xludf.DUMMYFUNCTION("""COMPUTED_VALUE"""),"J")</f>
        <v>J</v>
      </c>
      <c r="G1624" s="189">
        <f ca="1">IFERROR(__xludf.DUMMYFUNCTION("""COMPUTED_VALUE"""),2)</f>
        <v>2</v>
      </c>
      <c r="H1624" s="196" t="s">
        <v>388</v>
      </c>
      <c r="I1624" s="196"/>
      <c r="J1624" s="196" t="s">
        <v>29</v>
      </c>
      <c r="K1624" s="196"/>
      <c r="L1624" s="196" t="str">
        <v xml:space="preserve"> 49.40</v>
      </c>
      <c r="M1624" s="196"/>
    </row>
    <row r="1625" spans="1:13" ht="14.4" x14ac:dyDescent="0.3">
      <c r="A1625" s="189" t="str">
        <f ca="1">IFERROR(__xludf.DUMMYFUNCTION("""COMPUTED_VALUE"""),"RH")</f>
        <v>RH</v>
      </c>
      <c r="B1625" s="195" t="str">
        <f ca="1">IFERROR(__xludf.DUMMYFUNCTION("""COMPUTED_VALUE"""),"Sienna Nelson")</f>
        <v>Sienna Nelson</v>
      </c>
      <c r="C1625" s="189">
        <f ca="1">IFERROR(__xludf.DUMMYFUNCTION("""COMPUTED_VALUE"""),9)</f>
        <v>9</v>
      </c>
      <c r="D1625" s="189" t="str">
        <f ca="1">IFERROR(__xludf.DUMMYFUNCTION("""COMPUTED_VALUE"""),"G")</f>
        <v>G</v>
      </c>
      <c r="E1625" s="189" t="str">
        <f ca="1">IFERROR(__xludf.DUMMYFUNCTION("""COMPUTED_VALUE"""),"F")</f>
        <v>F</v>
      </c>
      <c r="F1625" s="189" t="str">
        <f ca="1">IFERROR(__xludf.DUMMYFUNCTION("""COMPUTED_VALUE"""),"J")</f>
        <v>J</v>
      </c>
      <c r="G1625" s="189">
        <f ca="1">IFERROR(__xludf.DUMMYFUNCTION("""COMPUTED_VALUE"""),2)</f>
        <v>2</v>
      </c>
      <c r="H1625" s="196" t="s">
        <v>676</v>
      </c>
      <c r="I1625" s="196"/>
      <c r="J1625" s="196" t="s">
        <v>29</v>
      </c>
      <c r="K1625" s="196"/>
      <c r="L1625" s="196" t="str">
        <v xml:space="preserve"> 42.30</v>
      </c>
      <c r="M1625" s="196"/>
    </row>
    <row r="1626" spans="1:13" ht="14.4" x14ac:dyDescent="0.3">
      <c r="A1626" s="189" t="str">
        <f ca="1">IFERROR(__xludf.DUMMYFUNCTION("""COMPUTED_VALUE"""),"RH")</f>
        <v>RH</v>
      </c>
      <c r="B1626" s="195" t="str">
        <f ca="1">IFERROR(__xludf.DUMMYFUNCTION("""COMPUTED_VALUE"""),"Stella Boger")</f>
        <v>Stella Boger</v>
      </c>
      <c r="C1626" s="189">
        <f ca="1">IFERROR(__xludf.DUMMYFUNCTION("""COMPUTED_VALUE"""),7)</f>
        <v>7</v>
      </c>
      <c r="D1626" s="189" t="str">
        <f ca="1">IFERROR(__xludf.DUMMYFUNCTION("""COMPUTED_VALUE"""),"G")</f>
        <v>G</v>
      </c>
      <c r="E1626" s="189" t="str">
        <f ca="1">IFERROR(__xludf.DUMMYFUNCTION("""COMPUTED_VALUE"""),"F")</f>
        <v>F</v>
      </c>
      <c r="F1626" s="189" t="str">
        <f ca="1">IFERROR(__xludf.DUMMYFUNCTION("""COMPUTED_VALUE"""),"J")</f>
        <v>J</v>
      </c>
      <c r="G1626" s="189">
        <f ca="1">IFERROR(__xludf.DUMMYFUNCTION("""COMPUTED_VALUE"""),2)</f>
        <v>2</v>
      </c>
      <c r="H1626" s="196" t="s">
        <v>674</v>
      </c>
      <c r="I1626" s="196"/>
      <c r="J1626" s="196" t="s">
        <v>29</v>
      </c>
      <c r="K1626" s="196"/>
      <c r="L1626" s="196" t="str">
        <v xml:space="preserve"> 20.50</v>
      </c>
      <c r="M1626" s="196"/>
    </row>
    <row r="1627" spans="1:13" ht="14.4" x14ac:dyDescent="0.3">
      <c r="A1627" s="189" t="str">
        <f ca="1">IFERROR(__xludf.DUMMYFUNCTION("""COMPUTED_VALUE"""),"RH")</f>
        <v>RH</v>
      </c>
      <c r="B1627" s="195" t="str">
        <f ca="1">IFERROR(__xludf.DUMMYFUNCTION("""COMPUTED_VALUE"""),"Ari Yarmolovich")</f>
        <v>Ari Yarmolovich</v>
      </c>
      <c r="C1627" s="189">
        <f ca="1">IFERROR(__xludf.DUMMYFUNCTION("""COMPUTED_VALUE"""),6)</f>
        <v>6</v>
      </c>
      <c r="D1627" s="189" t="str">
        <f ca="1">IFERROR(__xludf.DUMMYFUNCTION("""COMPUTED_VALUE"""),"B")</f>
        <v>B</v>
      </c>
      <c r="E1627" s="189" t="str">
        <f ca="1">IFERROR(__xludf.DUMMYFUNCTION("""COMPUTED_VALUE"""),"F")</f>
        <v>F</v>
      </c>
      <c r="F1627" s="189" t="str">
        <f ca="1">IFERROR(__xludf.DUMMYFUNCTION("""COMPUTED_VALUE"""),"J")</f>
        <v>J</v>
      </c>
      <c r="G1627" s="189">
        <f ca="1">IFERROR(__xludf.DUMMYFUNCTION("""COMPUTED_VALUE"""),2)</f>
        <v>2</v>
      </c>
      <c r="H1627" s="196"/>
      <c r="I1627" s="196"/>
      <c r="J1627" s="196"/>
      <c r="K1627" s="196"/>
      <c r="L1627" s="196" t="str">
        <v/>
      </c>
      <c r="M1627" s="196"/>
    </row>
    <row r="1628" spans="1:13" ht="14.4" x14ac:dyDescent="0.3">
      <c r="A1628" s="189" t="str">
        <f ca="1">IFERROR(__xludf.DUMMYFUNCTION("""COMPUTED_VALUE"""),"RH")</f>
        <v>RH</v>
      </c>
      <c r="B1628" s="195" t="str">
        <f ca="1">IFERROR(__xludf.DUMMYFUNCTION("""COMPUTED_VALUE"""),"Benny DeLong")</f>
        <v>Benny DeLong</v>
      </c>
      <c r="C1628" s="189">
        <f ca="1">IFERROR(__xludf.DUMMYFUNCTION("""COMPUTED_VALUE"""),5)</f>
        <v>5</v>
      </c>
      <c r="D1628" s="189" t="str">
        <f ca="1">IFERROR(__xludf.DUMMYFUNCTION("""COMPUTED_VALUE"""),"B")</f>
        <v>B</v>
      </c>
      <c r="E1628" s="189" t="str">
        <f ca="1">IFERROR(__xludf.DUMMYFUNCTION("""COMPUTED_VALUE"""),"F")</f>
        <v>F</v>
      </c>
      <c r="F1628" s="189" t="str">
        <f ca="1">IFERROR(__xludf.DUMMYFUNCTION("""COMPUTED_VALUE"""),"J")</f>
        <v>J</v>
      </c>
      <c r="G1628" s="189">
        <f ca="1">IFERROR(__xludf.DUMMYFUNCTION("""COMPUTED_VALUE"""),2)</f>
        <v>2</v>
      </c>
      <c r="H1628" s="196"/>
      <c r="I1628" s="196"/>
      <c r="J1628" s="196"/>
      <c r="K1628" s="196"/>
      <c r="L1628" s="196" t="str">
        <v/>
      </c>
      <c r="M1628" s="196"/>
    </row>
    <row r="1629" spans="1:13" ht="14.4" x14ac:dyDescent="0.3">
      <c r="A1629" s="189" t="str">
        <f ca="1">IFERROR(__xludf.DUMMYFUNCTION("""COMPUTED_VALUE"""),"RH")</f>
        <v>RH</v>
      </c>
      <c r="B1629" s="195" t="str">
        <f ca="1">IFERROR(__xludf.DUMMYFUNCTION("""COMPUTED_VALUE"""),"Brodie Kuehne")</f>
        <v>Brodie Kuehne</v>
      </c>
      <c r="C1629" s="189">
        <f ca="1">IFERROR(__xludf.DUMMYFUNCTION("""COMPUTED_VALUE"""),10)</f>
        <v>10</v>
      </c>
      <c r="D1629" s="189" t="str">
        <f ca="1">IFERROR(__xludf.DUMMYFUNCTION("""COMPUTED_VALUE"""),"B")</f>
        <v>B</v>
      </c>
      <c r="E1629" s="189" t="str">
        <f ca="1">IFERROR(__xludf.DUMMYFUNCTION("""COMPUTED_VALUE"""),"F")</f>
        <v>F</v>
      </c>
      <c r="F1629" s="189" t="str">
        <f ca="1">IFERROR(__xludf.DUMMYFUNCTION("""COMPUTED_VALUE"""),"J")</f>
        <v>J</v>
      </c>
      <c r="G1629" s="189">
        <f ca="1">IFERROR(__xludf.DUMMYFUNCTION("""COMPUTED_VALUE"""),2)</f>
        <v>2</v>
      </c>
      <c r="H1629" s="196"/>
      <c r="I1629" s="196"/>
      <c r="J1629" s="196"/>
      <c r="K1629" s="196"/>
      <c r="L1629" s="196" t="str">
        <v/>
      </c>
      <c r="M1629" s="196"/>
    </row>
    <row r="1630" spans="1:13" ht="14.4" x14ac:dyDescent="0.3">
      <c r="A1630" s="189" t="str">
        <f ca="1">IFERROR(__xludf.DUMMYFUNCTION("""COMPUTED_VALUE"""),"RH")</f>
        <v>RH</v>
      </c>
      <c r="B1630" s="195" t="str">
        <f ca="1">IFERROR(__xludf.DUMMYFUNCTION("""COMPUTED_VALUE"""),"Brycen Kwak")</f>
        <v>Brycen Kwak</v>
      </c>
      <c r="C1630" s="189">
        <f ca="1">IFERROR(__xludf.DUMMYFUNCTION("""COMPUTED_VALUE"""),9)</f>
        <v>9</v>
      </c>
      <c r="D1630" s="189" t="str">
        <f ca="1">IFERROR(__xludf.DUMMYFUNCTION("""COMPUTED_VALUE"""),"B")</f>
        <v>B</v>
      </c>
      <c r="E1630" s="189" t="str">
        <f ca="1">IFERROR(__xludf.DUMMYFUNCTION("""COMPUTED_VALUE"""),"F")</f>
        <v>F</v>
      </c>
      <c r="F1630" s="189" t="str">
        <f ca="1">IFERROR(__xludf.DUMMYFUNCTION("""COMPUTED_VALUE"""),"J")</f>
        <v>J</v>
      </c>
      <c r="G1630" s="189">
        <f ca="1">IFERROR(__xludf.DUMMYFUNCTION("""COMPUTED_VALUE"""),2)</f>
        <v>2</v>
      </c>
      <c r="H1630" s="196"/>
      <c r="I1630" s="196"/>
      <c r="J1630" s="196"/>
      <c r="K1630" s="196"/>
      <c r="L1630" s="196" t="str">
        <v/>
      </c>
      <c r="M1630" s="196"/>
    </row>
    <row r="1631" spans="1:13" ht="14.4" x14ac:dyDescent="0.3">
      <c r="A1631" s="189" t="str">
        <f ca="1">IFERROR(__xludf.DUMMYFUNCTION("""COMPUTED_VALUE"""),"RH")</f>
        <v>RH</v>
      </c>
      <c r="B1631" s="195" t="str">
        <f ca="1">IFERROR(__xludf.DUMMYFUNCTION("""COMPUTED_VALUE"""),"Connor Martinez")</f>
        <v>Connor Martinez</v>
      </c>
      <c r="C1631" s="189">
        <f ca="1">IFERROR(__xludf.DUMMYFUNCTION("""COMPUTED_VALUE"""),9)</f>
        <v>9</v>
      </c>
      <c r="D1631" s="189" t="str">
        <f ca="1">IFERROR(__xludf.DUMMYFUNCTION("""COMPUTED_VALUE"""),"B")</f>
        <v>B</v>
      </c>
      <c r="E1631" s="189" t="str">
        <f ca="1">IFERROR(__xludf.DUMMYFUNCTION("""COMPUTED_VALUE"""),"F")</f>
        <v>F</v>
      </c>
      <c r="F1631" s="189" t="str">
        <f ca="1">IFERROR(__xludf.DUMMYFUNCTION("""COMPUTED_VALUE"""),"J")</f>
        <v>J</v>
      </c>
      <c r="G1631" s="189">
        <f ca="1">IFERROR(__xludf.DUMMYFUNCTION("""COMPUTED_VALUE"""),2)</f>
        <v>2</v>
      </c>
      <c r="H1631" s="196" t="s">
        <v>677</v>
      </c>
      <c r="I1631" s="196"/>
      <c r="J1631" s="196" t="s">
        <v>29</v>
      </c>
      <c r="K1631" s="196"/>
      <c r="L1631" s="196" t="str">
        <v xml:space="preserve"> 29.65</v>
      </c>
      <c r="M1631" s="196"/>
    </row>
    <row r="1632" spans="1:13" ht="14.4" x14ac:dyDescent="0.3">
      <c r="A1632" s="189" t="str">
        <f ca="1">IFERROR(__xludf.DUMMYFUNCTION("""COMPUTED_VALUE"""),"RH")</f>
        <v>RH</v>
      </c>
      <c r="B1632" s="195" t="str">
        <f ca="1">IFERROR(__xludf.DUMMYFUNCTION("""COMPUTED_VALUE"""),"Eli DeLong")</f>
        <v>Eli DeLong</v>
      </c>
      <c r="C1632" s="189">
        <f ca="1">IFERROR(__xludf.DUMMYFUNCTION("""COMPUTED_VALUE"""),10)</f>
        <v>10</v>
      </c>
      <c r="D1632" s="189" t="str">
        <f ca="1">IFERROR(__xludf.DUMMYFUNCTION("""COMPUTED_VALUE"""),"B")</f>
        <v>B</v>
      </c>
      <c r="E1632" s="189" t="str">
        <f ca="1">IFERROR(__xludf.DUMMYFUNCTION("""COMPUTED_VALUE"""),"F")</f>
        <v>F</v>
      </c>
      <c r="F1632" s="189" t="str">
        <f ca="1">IFERROR(__xludf.DUMMYFUNCTION("""COMPUTED_VALUE"""),"J")</f>
        <v>J</v>
      </c>
      <c r="G1632" s="189">
        <f ca="1">IFERROR(__xludf.DUMMYFUNCTION("""COMPUTED_VALUE"""),2)</f>
        <v>2</v>
      </c>
      <c r="H1632" s="196" t="s">
        <v>678</v>
      </c>
      <c r="I1632" s="196"/>
      <c r="J1632" s="196" t="s">
        <v>29</v>
      </c>
      <c r="K1632" s="196"/>
      <c r="L1632" s="196" t="str">
        <v xml:space="preserve"> 24.65</v>
      </c>
      <c r="M1632" s="196"/>
    </row>
    <row r="1633" spans="1:13" ht="14.4" x14ac:dyDescent="0.3">
      <c r="A1633" s="189" t="str">
        <f ca="1">IFERROR(__xludf.DUMMYFUNCTION("""COMPUTED_VALUE"""),"RH")</f>
        <v>RH</v>
      </c>
      <c r="B1633" s="195" t="str">
        <f ca="1">IFERROR(__xludf.DUMMYFUNCTION("""COMPUTED_VALUE"""),"Ellis Hodum")</f>
        <v>Ellis Hodum</v>
      </c>
      <c r="C1633" s="189">
        <f ca="1">IFERROR(__xludf.DUMMYFUNCTION("""COMPUTED_VALUE"""),7)</f>
        <v>7</v>
      </c>
      <c r="D1633" s="189" t="str">
        <f ca="1">IFERROR(__xludf.DUMMYFUNCTION("""COMPUTED_VALUE"""),"B")</f>
        <v>B</v>
      </c>
      <c r="E1633" s="189" t="str">
        <f ca="1">IFERROR(__xludf.DUMMYFUNCTION("""COMPUTED_VALUE"""),"F")</f>
        <v>F</v>
      </c>
      <c r="F1633" s="189" t="str">
        <f ca="1">IFERROR(__xludf.DUMMYFUNCTION("""COMPUTED_VALUE"""),"J")</f>
        <v>J</v>
      </c>
      <c r="G1633" s="189">
        <f ca="1">IFERROR(__xludf.DUMMYFUNCTION("""COMPUTED_VALUE"""),2)</f>
        <v>2</v>
      </c>
      <c r="H1633" s="196"/>
      <c r="I1633" s="196"/>
      <c r="J1633" s="196"/>
      <c r="K1633" s="196"/>
      <c r="L1633" s="196" t="str">
        <v/>
      </c>
      <c r="M1633" s="196"/>
    </row>
    <row r="1634" spans="1:13" ht="14.4" x14ac:dyDescent="0.3">
      <c r="A1634" s="189" t="str">
        <f ca="1">IFERROR(__xludf.DUMMYFUNCTION("""COMPUTED_VALUE"""),"RH")</f>
        <v>RH</v>
      </c>
      <c r="B1634" s="195" t="str">
        <f ca="1">IFERROR(__xludf.DUMMYFUNCTION("""COMPUTED_VALUE"""),"Harrison Kwak")</f>
        <v>Harrison Kwak</v>
      </c>
      <c r="C1634" s="189">
        <f ca="1">IFERROR(__xludf.DUMMYFUNCTION("""COMPUTED_VALUE"""),6)</f>
        <v>6</v>
      </c>
      <c r="D1634" s="189" t="str">
        <f ca="1">IFERROR(__xludf.DUMMYFUNCTION("""COMPUTED_VALUE"""),"b")</f>
        <v>b</v>
      </c>
      <c r="E1634" s="189" t="str">
        <f ca="1">IFERROR(__xludf.DUMMYFUNCTION("""COMPUTED_VALUE"""),"F")</f>
        <v>F</v>
      </c>
      <c r="F1634" s="189" t="str">
        <f ca="1">IFERROR(__xludf.DUMMYFUNCTION("""COMPUTED_VALUE"""),"J")</f>
        <v>J</v>
      </c>
      <c r="G1634" s="189">
        <f ca="1">IFERROR(__xludf.DUMMYFUNCTION("""COMPUTED_VALUE"""),2)</f>
        <v>2</v>
      </c>
      <c r="H1634" s="196"/>
      <c r="I1634" s="196"/>
      <c r="J1634" s="196"/>
      <c r="K1634" s="196"/>
      <c r="L1634" s="196" t="str">
        <v/>
      </c>
      <c r="M1634" s="196"/>
    </row>
    <row r="1635" spans="1:13" ht="14.4" x14ac:dyDescent="0.3">
      <c r="A1635" s="189" t="str">
        <f ca="1">IFERROR(__xludf.DUMMYFUNCTION("""COMPUTED_VALUE"""),"RH")</f>
        <v>RH</v>
      </c>
      <c r="B1635" s="195" t="str">
        <f ca="1">IFERROR(__xludf.DUMMYFUNCTION("""COMPUTED_VALUE"""),"Ian Tamburrino")</f>
        <v>Ian Tamburrino</v>
      </c>
      <c r="C1635" s="189">
        <f ca="1">IFERROR(__xludf.DUMMYFUNCTION("""COMPUTED_VALUE"""),9)</f>
        <v>9</v>
      </c>
      <c r="D1635" s="189" t="str">
        <f ca="1">IFERROR(__xludf.DUMMYFUNCTION("""COMPUTED_VALUE"""),"B")</f>
        <v>B</v>
      </c>
      <c r="E1635" s="189" t="str">
        <f ca="1">IFERROR(__xludf.DUMMYFUNCTION("""COMPUTED_VALUE"""),"F")</f>
        <v>F</v>
      </c>
      <c r="F1635" s="189" t="str">
        <f ca="1">IFERROR(__xludf.DUMMYFUNCTION("""COMPUTED_VALUE"""),"J")</f>
        <v>J</v>
      </c>
      <c r="G1635" s="189">
        <f ca="1">IFERROR(__xludf.DUMMYFUNCTION("""COMPUTED_VALUE"""),2)</f>
        <v>2</v>
      </c>
      <c r="H1635" s="196"/>
      <c r="I1635" s="196"/>
      <c r="J1635" s="196"/>
      <c r="K1635" s="196"/>
      <c r="L1635" s="196" t="str">
        <v/>
      </c>
      <c r="M1635" s="196"/>
    </row>
    <row r="1636" spans="1:13" ht="14.4" x14ac:dyDescent="0.3">
      <c r="A1636" s="189" t="str">
        <f ca="1">IFERROR(__xludf.DUMMYFUNCTION("""COMPUTED_VALUE"""),"RH")</f>
        <v>RH</v>
      </c>
      <c r="B1636" s="195" t="str">
        <f ca="1">IFERROR(__xludf.DUMMYFUNCTION("""COMPUTED_VALUE"""),"Jack Murphy")</f>
        <v>Jack Murphy</v>
      </c>
      <c r="C1636" s="189">
        <f ca="1">IFERROR(__xludf.DUMMYFUNCTION("""COMPUTED_VALUE"""),9)</f>
        <v>9</v>
      </c>
      <c r="D1636" s="189" t="str">
        <f ca="1">IFERROR(__xludf.DUMMYFUNCTION("""COMPUTED_VALUE"""),"B")</f>
        <v>B</v>
      </c>
      <c r="E1636" s="189" t="str">
        <f ca="1">IFERROR(__xludf.DUMMYFUNCTION("""COMPUTED_VALUE"""),"F")</f>
        <v>F</v>
      </c>
      <c r="F1636" s="189" t="str">
        <f ca="1">IFERROR(__xludf.DUMMYFUNCTION("""COMPUTED_VALUE"""),"J")</f>
        <v>J</v>
      </c>
      <c r="G1636" s="189">
        <f ca="1">IFERROR(__xludf.DUMMYFUNCTION("""COMPUTED_VALUE"""),2)</f>
        <v>2</v>
      </c>
      <c r="H1636" s="196" t="s">
        <v>342</v>
      </c>
      <c r="I1636" s="196"/>
      <c r="J1636" s="196" t="s">
        <v>29</v>
      </c>
      <c r="K1636" s="196"/>
      <c r="L1636" s="196" t="str">
        <v xml:space="preserve"> 23.10</v>
      </c>
      <c r="M1636" s="196"/>
    </row>
    <row r="1637" spans="1:13" ht="14.4" x14ac:dyDescent="0.3">
      <c r="A1637" s="189" t="str">
        <f ca="1">IFERROR(__xludf.DUMMYFUNCTION("""COMPUTED_VALUE"""),"RH")</f>
        <v>RH</v>
      </c>
      <c r="B1637" s="195" t="str">
        <f ca="1">IFERROR(__xludf.DUMMYFUNCTION("""COMPUTED_VALUE"""),"Keegan Donnelly")</f>
        <v>Keegan Donnelly</v>
      </c>
      <c r="C1637" s="189">
        <f ca="1">IFERROR(__xludf.DUMMYFUNCTION("""COMPUTED_VALUE"""),8)</f>
        <v>8</v>
      </c>
      <c r="D1637" s="189" t="str">
        <f ca="1">IFERROR(__xludf.DUMMYFUNCTION("""COMPUTED_VALUE"""),"B")</f>
        <v>B</v>
      </c>
      <c r="E1637" s="189" t="str">
        <f ca="1">IFERROR(__xludf.DUMMYFUNCTION("""COMPUTED_VALUE"""),"F")</f>
        <v>F</v>
      </c>
      <c r="F1637" s="189" t="str">
        <f ca="1">IFERROR(__xludf.DUMMYFUNCTION("""COMPUTED_VALUE"""),"J")</f>
        <v>J</v>
      </c>
      <c r="G1637" s="189">
        <f ca="1">IFERROR(__xludf.DUMMYFUNCTION("""COMPUTED_VALUE"""),2)</f>
        <v>2</v>
      </c>
      <c r="H1637" s="196" t="s">
        <v>679</v>
      </c>
      <c r="I1637" s="196"/>
      <c r="J1637" s="196" t="s">
        <v>29</v>
      </c>
      <c r="K1637" s="196"/>
      <c r="L1637" s="196" t="str">
        <v xml:space="preserve"> 51.15</v>
      </c>
      <c r="M1637" s="196"/>
    </row>
    <row r="1638" spans="1:13" ht="14.4" x14ac:dyDescent="0.3">
      <c r="A1638" s="189" t="str">
        <f ca="1">IFERROR(__xludf.DUMMYFUNCTION("""COMPUTED_VALUE"""),"RH")</f>
        <v>RH</v>
      </c>
      <c r="B1638" s="195" t="str">
        <f ca="1">IFERROR(__xludf.DUMMYFUNCTION("""COMPUTED_VALUE"""),"Leo Yarmolovich")</f>
        <v>Leo Yarmolovich</v>
      </c>
      <c r="C1638" s="189">
        <f ca="1">IFERROR(__xludf.DUMMYFUNCTION("""COMPUTED_VALUE"""),10)</f>
        <v>10</v>
      </c>
      <c r="D1638" s="189" t="str">
        <f ca="1">IFERROR(__xludf.DUMMYFUNCTION("""COMPUTED_VALUE"""),"B")</f>
        <v>B</v>
      </c>
      <c r="E1638" s="189" t="str">
        <f ca="1">IFERROR(__xludf.DUMMYFUNCTION("""COMPUTED_VALUE"""),"F")</f>
        <v>F</v>
      </c>
      <c r="F1638" s="189" t="str">
        <f ca="1">IFERROR(__xludf.DUMMYFUNCTION("""COMPUTED_VALUE"""),"J")</f>
        <v>J</v>
      </c>
      <c r="G1638" s="189">
        <f ca="1">IFERROR(__xludf.DUMMYFUNCTION("""COMPUTED_VALUE"""),2)</f>
        <v>2</v>
      </c>
      <c r="H1638" s="196"/>
      <c r="I1638" s="196"/>
      <c r="J1638" s="196"/>
      <c r="K1638" s="196"/>
      <c r="L1638" s="196" t="str">
        <v/>
      </c>
      <c r="M1638" s="196"/>
    </row>
    <row r="1639" spans="1:13" ht="14.4" x14ac:dyDescent="0.3">
      <c r="A1639" s="189" t="str">
        <f ca="1">IFERROR(__xludf.DUMMYFUNCTION("""COMPUTED_VALUE"""),"RH")</f>
        <v>RH</v>
      </c>
      <c r="B1639" s="195" t="str">
        <f ca="1">IFERROR(__xludf.DUMMYFUNCTION("""COMPUTED_VALUE"""),"Neev Bhartiya")</f>
        <v>Neev Bhartiya</v>
      </c>
      <c r="C1639" s="189">
        <f ca="1">IFERROR(__xludf.DUMMYFUNCTION("""COMPUTED_VALUE"""),8)</f>
        <v>8</v>
      </c>
      <c r="D1639" s="189" t="str">
        <f ca="1">IFERROR(__xludf.DUMMYFUNCTION("""COMPUTED_VALUE"""),"B")</f>
        <v>B</v>
      </c>
      <c r="E1639" s="189" t="str">
        <f ca="1">IFERROR(__xludf.DUMMYFUNCTION("""COMPUTED_VALUE"""),"F")</f>
        <v>F</v>
      </c>
      <c r="F1639" s="189" t="str">
        <f ca="1">IFERROR(__xludf.DUMMYFUNCTION("""COMPUTED_VALUE"""),"J")</f>
        <v>J</v>
      </c>
      <c r="G1639" s="189">
        <f ca="1">IFERROR(__xludf.DUMMYFUNCTION("""COMPUTED_VALUE"""),2)</f>
        <v>2</v>
      </c>
      <c r="H1639" s="196"/>
      <c r="I1639" s="196"/>
      <c r="J1639" s="196"/>
      <c r="K1639" s="196"/>
      <c r="L1639" s="196" t="str">
        <v/>
      </c>
      <c r="M1639" s="196"/>
    </row>
    <row r="1640" spans="1:13" ht="14.4" x14ac:dyDescent="0.3">
      <c r="A1640" s="189" t="str">
        <f ca="1">IFERROR(__xludf.DUMMYFUNCTION("""COMPUTED_VALUE"""),"RH")</f>
        <v>RH</v>
      </c>
      <c r="B1640" s="195" t="str">
        <f ca="1">IFERROR(__xludf.DUMMYFUNCTION("""COMPUTED_VALUE"""),"Caroline Berry")</f>
        <v>Caroline Berry</v>
      </c>
      <c r="C1640" s="189">
        <f ca="1">IFERROR(__xludf.DUMMYFUNCTION("""COMPUTED_VALUE"""),13)</f>
        <v>13</v>
      </c>
      <c r="D1640" s="189" t="str">
        <f ca="1">IFERROR(__xludf.DUMMYFUNCTION("""COMPUTED_VALUE"""),"G")</f>
        <v>G</v>
      </c>
      <c r="E1640" s="189" t="str">
        <f ca="1">IFERROR(__xludf.DUMMYFUNCTION("""COMPUTED_VALUE"""),"I")</f>
        <v>I</v>
      </c>
      <c r="F1640" s="189" t="str">
        <f ca="1">IFERROR(__xludf.DUMMYFUNCTION("""COMPUTED_VALUE"""),"S")</f>
        <v>S</v>
      </c>
      <c r="G1640" s="189">
        <f ca="1">IFERROR(__xludf.DUMMYFUNCTION("""COMPUTED_VALUE"""),2)</f>
        <v>2</v>
      </c>
      <c r="H1640" s="196" t="s">
        <v>351</v>
      </c>
      <c r="I1640" s="196"/>
      <c r="J1640" s="196" t="s">
        <v>29</v>
      </c>
      <c r="K1640" s="196"/>
      <c r="L1640" s="196" t="str">
        <v xml:space="preserve"> 90.05</v>
      </c>
      <c r="M1640" s="196"/>
    </row>
    <row r="1641" spans="1:13" ht="14.4" x14ac:dyDescent="0.3">
      <c r="A1641" s="189" t="str">
        <f ca="1">IFERROR(__xludf.DUMMYFUNCTION("""COMPUTED_VALUE"""),"RH")</f>
        <v>RH</v>
      </c>
      <c r="B1641" s="195" t="str">
        <f ca="1">IFERROR(__xludf.DUMMYFUNCTION("""COMPUTED_VALUE"""),"Edie Freeman")</f>
        <v>Edie Freeman</v>
      </c>
      <c r="C1641" s="189">
        <f ca="1">IFERROR(__xludf.DUMMYFUNCTION("""COMPUTED_VALUE"""),14)</f>
        <v>14</v>
      </c>
      <c r="D1641" s="189" t="str">
        <f ca="1">IFERROR(__xludf.DUMMYFUNCTION("""COMPUTED_VALUE"""),"G")</f>
        <v>G</v>
      </c>
      <c r="E1641" s="189" t="str">
        <f ca="1">IFERROR(__xludf.DUMMYFUNCTION("""COMPUTED_VALUE"""),"I")</f>
        <v>I</v>
      </c>
      <c r="F1641" s="189" t="str">
        <f ca="1">IFERROR(__xludf.DUMMYFUNCTION("""COMPUTED_VALUE"""),"S")</f>
        <v>S</v>
      </c>
      <c r="G1641" s="189">
        <f ca="1">IFERROR(__xludf.DUMMYFUNCTION("""COMPUTED_VALUE"""),2)</f>
        <v>2</v>
      </c>
      <c r="H1641" s="196"/>
      <c r="I1641" s="196"/>
      <c r="J1641" s="196"/>
      <c r="K1641" s="196"/>
      <c r="L1641" s="196" t="str">
        <v/>
      </c>
      <c r="M1641" s="196"/>
    </row>
    <row r="1642" spans="1:13" ht="14.4" x14ac:dyDescent="0.3">
      <c r="A1642" s="189" t="str">
        <f ca="1">IFERROR(__xludf.DUMMYFUNCTION("""COMPUTED_VALUE"""),"RH")</f>
        <v>RH</v>
      </c>
      <c r="B1642" s="195" t="str">
        <f ca="1">IFERROR(__xludf.DUMMYFUNCTION("""COMPUTED_VALUE"""),"Hannah Shriber")</f>
        <v>Hannah Shriber</v>
      </c>
      <c r="C1642" s="189">
        <f ca="1">IFERROR(__xludf.DUMMYFUNCTION("""COMPUTED_VALUE"""),13)</f>
        <v>13</v>
      </c>
      <c r="D1642" s="189" t="str">
        <f ca="1">IFERROR(__xludf.DUMMYFUNCTION("""COMPUTED_VALUE"""),"G")</f>
        <v>G</v>
      </c>
      <c r="E1642" s="189" t="str">
        <f ca="1">IFERROR(__xludf.DUMMYFUNCTION("""COMPUTED_VALUE"""),"I")</f>
        <v>I</v>
      </c>
      <c r="F1642" s="189" t="str">
        <f ca="1">IFERROR(__xludf.DUMMYFUNCTION("""COMPUTED_VALUE"""),"S")</f>
        <v>S</v>
      </c>
      <c r="G1642" s="189">
        <f ca="1">IFERROR(__xludf.DUMMYFUNCTION("""COMPUTED_VALUE"""),2)</f>
        <v>2</v>
      </c>
      <c r="H1642" s="196" t="s">
        <v>680</v>
      </c>
      <c r="I1642" s="196"/>
      <c r="J1642" s="196" t="s">
        <v>29</v>
      </c>
      <c r="K1642" s="196"/>
      <c r="L1642" s="196" t="str">
        <v xml:space="preserve"> 64.20</v>
      </c>
      <c r="M1642" s="196"/>
    </row>
    <row r="1643" spans="1:13" ht="14.4" x14ac:dyDescent="0.3">
      <c r="A1643" s="189" t="str">
        <f ca="1">IFERROR(__xludf.DUMMYFUNCTION("""COMPUTED_VALUE"""),"RH")</f>
        <v>RH</v>
      </c>
      <c r="B1643" s="195" t="str">
        <f ca="1">IFERROR(__xludf.DUMMYFUNCTION("""COMPUTED_VALUE"""),"Maggie Donnelly")</f>
        <v>Maggie Donnelly</v>
      </c>
      <c r="C1643" s="189">
        <f ca="1">IFERROR(__xludf.DUMMYFUNCTION("""COMPUTED_VALUE"""),13)</f>
        <v>13</v>
      </c>
      <c r="D1643" s="189" t="str">
        <f ca="1">IFERROR(__xludf.DUMMYFUNCTION("""COMPUTED_VALUE"""),"G")</f>
        <v>G</v>
      </c>
      <c r="E1643" s="189" t="str">
        <f ca="1">IFERROR(__xludf.DUMMYFUNCTION("""COMPUTED_VALUE"""),"I")</f>
        <v>I</v>
      </c>
      <c r="F1643" s="189" t="str">
        <f ca="1">IFERROR(__xludf.DUMMYFUNCTION("""COMPUTED_VALUE"""),"S")</f>
        <v>S</v>
      </c>
      <c r="G1643" s="189">
        <f ca="1">IFERROR(__xludf.DUMMYFUNCTION("""COMPUTED_VALUE"""),2)</f>
        <v>2</v>
      </c>
      <c r="H1643" s="196"/>
      <c r="I1643" s="196"/>
      <c r="J1643" s="196"/>
      <c r="K1643" s="196"/>
      <c r="L1643" s="196" t="str">
        <v/>
      </c>
      <c r="M1643" s="196"/>
    </row>
    <row r="1644" spans="1:13" ht="14.4" x14ac:dyDescent="0.3">
      <c r="A1644" s="189" t="str">
        <f ca="1">IFERROR(__xludf.DUMMYFUNCTION("""COMPUTED_VALUE"""),"RH")</f>
        <v>RH</v>
      </c>
      <c r="B1644" s="195" t="str">
        <f ca="1">IFERROR(__xludf.DUMMYFUNCTION("""COMPUTED_VALUE"""),"Cade Nelson")</f>
        <v>Cade Nelson</v>
      </c>
      <c r="C1644" s="189">
        <f ca="1">IFERROR(__xludf.DUMMYFUNCTION("""COMPUTED_VALUE"""),14)</f>
        <v>14</v>
      </c>
      <c r="D1644" s="189" t="str">
        <f ca="1">IFERROR(__xludf.DUMMYFUNCTION("""COMPUTED_VALUE"""),"B")</f>
        <v>B</v>
      </c>
      <c r="E1644" s="189" t="str">
        <f ca="1">IFERROR(__xludf.DUMMYFUNCTION("""COMPUTED_VALUE"""),"I")</f>
        <v>I</v>
      </c>
      <c r="F1644" s="189" t="str">
        <f ca="1">IFERROR(__xludf.DUMMYFUNCTION("""COMPUTED_VALUE"""),"S")</f>
        <v>S</v>
      </c>
      <c r="G1644" s="189">
        <f ca="1">IFERROR(__xludf.DUMMYFUNCTION("""COMPUTED_VALUE"""),2)</f>
        <v>2</v>
      </c>
      <c r="H1644" s="196" t="s">
        <v>681</v>
      </c>
      <c r="I1644" s="196"/>
      <c r="J1644" s="196" t="s">
        <v>29</v>
      </c>
      <c r="K1644" s="196"/>
      <c r="L1644" s="196" t="str">
        <v xml:space="preserve"> 84.50</v>
      </c>
      <c r="M1644" s="196"/>
    </row>
    <row r="1645" spans="1:13" ht="14.4" x14ac:dyDescent="0.3">
      <c r="A1645" s="189" t="str">
        <f ca="1">IFERROR(__xludf.DUMMYFUNCTION("""COMPUTED_VALUE"""),"RH")</f>
        <v>RH</v>
      </c>
      <c r="B1645" s="195" t="str">
        <f ca="1">IFERROR(__xludf.DUMMYFUNCTION("""COMPUTED_VALUE"""),"Gabe Newtson")</f>
        <v>Gabe Newtson</v>
      </c>
      <c r="C1645" s="189">
        <f ca="1">IFERROR(__xludf.DUMMYFUNCTION("""COMPUTED_VALUE"""),13)</f>
        <v>13</v>
      </c>
      <c r="D1645" s="189" t="str">
        <f ca="1">IFERROR(__xludf.DUMMYFUNCTION("""COMPUTED_VALUE"""),"B")</f>
        <v>B</v>
      </c>
      <c r="E1645" s="189" t="str">
        <f ca="1">IFERROR(__xludf.DUMMYFUNCTION("""COMPUTED_VALUE"""),"I")</f>
        <v>I</v>
      </c>
      <c r="F1645" s="189" t="str">
        <f ca="1">IFERROR(__xludf.DUMMYFUNCTION("""COMPUTED_VALUE"""),"S")</f>
        <v>S</v>
      </c>
      <c r="G1645" s="189">
        <f ca="1">IFERROR(__xludf.DUMMYFUNCTION("""COMPUTED_VALUE"""),2)</f>
        <v>2</v>
      </c>
      <c r="H1645" s="196" t="s">
        <v>682</v>
      </c>
      <c r="I1645" s="196"/>
      <c r="J1645" s="196" t="s">
        <v>29</v>
      </c>
      <c r="K1645" s="196"/>
      <c r="L1645" s="196" t="str">
        <v xml:space="preserve"> 125.90</v>
      </c>
      <c r="M1645" s="196"/>
    </row>
    <row r="1646" spans="1:13" ht="14.4" x14ac:dyDescent="0.3">
      <c r="A1646" s="189" t="str">
        <f ca="1">IFERROR(__xludf.DUMMYFUNCTION("""COMPUTED_VALUE"""),"RH")</f>
        <v>RH</v>
      </c>
      <c r="B1646" s="195" t="str">
        <f ca="1">IFERROR(__xludf.DUMMYFUNCTION("""COMPUTED_VALUE"""),"Griffin Wagner")</f>
        <v>Griffin Wagner</v>
      </c>
      <c r="C1646" s="189">
        <f ca="1">IFERROR(__xludf.DUMMYFUNCTION("""COMPUTED_VALUE"""),14)</f>
        <v>14</v>
      </c>
      <c r="D1646" s="189" t="str">
        <f ca="1">IFERROR(__xludf.DUMMYFUNCTION("""COMPUTED_VALUE"""),"B")</f>
        <v>B</v>
      </c>
      <c r="E1646" s="189" t="str">
        <f ca="1">IFERROR(__xludf.DUMMYFUNCTION("""COMPUTED_VALUE"""),"I")</f>
        <v>I</v>
      </c>
      <c r="F1646" s="189" t="str">
        <f ca="1">IFERROR(__xludf.DUMMYFUNCTION("""COMPUTED_VALUE"""),"S")</f>
        <v>S</v>
      </c>
      <c r="G1646" s="189">
        <f ca="1">IFERROR(__xludf.DUMMYFUNCTION("""COMPUTED_VALUE"""),2)</f>
        <v>2</v>
      </c>
      <c r="H1646" s="196" t="s">
        <v>29</v>
      </c>
      <c r="I1646" s="196"/>
      <c r="J1646" s="196" t="s">
        <v>64</v>
      </c>
      <c r="K1646" s="196"/>
      <c r="L1646" s="196" t="str">
        <v/>
      </c>
      <c r="M1646" s="196"/>
    </row>
    <row r="1647" spans="1:13" ht="14.4" x14ac:dyDescent="0.3">
      <c r="A1647" s="189" t="str">
        <f ca="1">IFERROR(__xludf.DUMMYFUNCTION("""COMPUTED_VALUE"""),"RH")</f>
        <v>RH</v>
      </c>
      <c r="B1647" s="195" t="str">
        <f ca="1">IFERROR(__xludf.DUMMYFUNCTION("""COMPUTED_VALUE"""),"Hudson Lynch")</f>
        <v>Hudson Lynch</v>
      </c>
      <c r="C1647" s="189">
        <f ca="1">IFERROR(__xludf.DUMMYFUNCTION("""COMPUTED_VALUE"""),13)</f>
        <v>13</v>
      </c>
      <c r="D1647" s="189" t="str">
        <f ca="1">IFERROR(__xludf.DUMMYFUNCTION("""COMPUTED_VALUE"""),"B")</f>
        <v>B</v>
      </c>
      <c r="E1647" s="189" t="str">
        <f ca="1">IFERROR(__xludf.DUMMYFUNCTION("""COMPUTED_VALUE"""),"I")</f>
        <v>I</v>
      </c>
      <c r="F1647" s="189" t="str">
        <f ca="1">IFERROR(__xludf.DUMMYFUNCTION("""COMPUTED_VALUE"""),"S")</f>
        <v>S</v>
      </c>
      <c r="G1647" s="189">
        <f ca="1">IFERROR(__xludf.DUMMYFUNCTION("""COMPUTED_VALUE"""),2)</f>
        <v>2</v>
      </c>
      <c r="H1647" s="196" t="s">
        <v>531</v>
      </c>
      <c r="I1647" s="196"/>
      <c r="J1647" s="196" t="s">
        <v>29</v>
      </c>
      <c r="K1647" s="196"/>
      <c r="L1647" s="196" t="str">
        <v xml:space="preserve"> 107.75</v>
      </c>
      <c r="M1647" s="196"/>
    </row>
    <row r="1648" spans="1:13" ht="14.4" x14ac:dyDescent="0.3">
      <c r="A1648" s="189" t="str">
        <f ca="1">IFERROR(__xludf.DUMMYFUNCTION("""COMPUTED_VALUE"""),"RH")</f>
        <v>RH</v>
      </c>
      <c r="B1648" s="195" t="str">
        <f ca="1">IFERROR(__xludf.DUMMYFUNCTION("""COMPUTED_VALUE"""),"Jacob Hurt")</f>
        <v>Jacob Hurt</v>
      </c>
      <c r="C1648" s="189">
        <f ca="1">IFERROR(__xludf.DUMMYFUNCTION("""COMPUTED_VALUE"""),13)</f>
        <v>13</v>
      </c>
      <c r="D1648" s="189" t="str">
        <f ca="1">IFERROR(__xludf.DUMMYFUNCTION("""COMPUTED_VALUE"""),"B")</f>
        <v>B</v>
      </c>
      <c r="E1648" s="189" t="str">
        <f ca="1">IFERROR(__xludf.DUMMYFUNCTION("""COMPUTED_VALUE"""),"I")</f>
        <v>I</v>
      </c>
      <c r="F1648" s="189" t="str">
        <f ca="1">IFERROR(__xludf.DUMMYFUNCTION("""COMPUTED_VALUE"""),"S")</f>
        <v>S</v>
      </c>
      <c r="G1648" s="189">
        <f ca="1">IFERROR(__xludf.DUMMYFUNCTION("""COMPUTED_VALUE"""),2)</f>
        <v>2</v>
      </c>
      <c r="H1648" s="196" t="s">
        <v>683</v>
      </c>
      <c r="I1648" s="196"/>
      <c r="J1648" s="196" t="s">
        <v>29</v>
      </c>
      <c r="K1648" s="196"/>
      <c r="L1648" s="196" t="str">
        <v xml:space="preserve"> 97.75</v>
      </c>
      <c r="M1648" s="196"/>
    </row>
    <row r="1649" spans="1:13" ht="14.4" x14ac:dyDescent="0.3">
      <c r="A1649" s="189" t="str">
        <f ca="1">IFERROR(__xludf.DUMMYFUNCTION("""COMPUTED_VALUE"""),"RH")</f>
        <v>RH</v>
      </c>
      <c r="B1649" s="195" t="str">
        <f ca="1">IFERROR(__xludf.DUMMYFUNCTION("""COMPUTED_VALUE"""),"Oliver Matthews")</f>
        <v>Oliver Matthews</v>
      </c>
      <c r="C1649" s="189">
        <f ca="1">IFERROR(__xludf.DUMMYFUNCTION("""COMPUTED_VALUE"""),13)</f>
        <v>13</v>
      </c>
      <c r="D1649" s="189" t="str">
        <f ca="1">IFERROR(__xludf.DUMMYFUNCTION("""COMPUTED_VALUE"""),"B")</f>
        <v>B</v>
      </c>
      <c r="E1649" s="189" t="str">
        <f ca="1">IFERROR(__xludf.DUMMYFUNCTION("""COMPUTED_VALUE"""),"I")</f>
        <v>I</v>
      </c>
      <c r="F1649" s="189" t="str">
        <f ca="1">IFERROR(__xludf.DUMMYFUNCTION("""COMPUTED_VALUE"""),"S")</f>
        <v>S</v>
      </c>
      <c r="G1649" s="189">
        <f ca="1">IFERROR(__xludf.DUMMYFUNCTION("""COMPUTED_VALUE"""),2)</f>
        <v>2</v>
      </c>
      <c r="H1649" s="196"/>
      <c r="I1649" s="196"/>
      <c r="J1649" s="196"/>
      <c r="K1649" s="196"/>
      <c r="L1649" s="196" t="str">
        <v/>
      </c>
      <c r="M1649" s="196"/>
    </row>
    <row r="1650" spans="1:13" ht="14.4" x14ac:dyDescent="0.3">
      <c r="A1650" s="189" t="str">
        <f ca="1">IFERROR(__xludf.DUMMYFUNCTION("""COMPUTED_VALUE"""),"RH")</f>
        <v>RH</v>
      </c>
      <c r="B1650" s="195" t="str">
        <f ca="1">IFERROR(__xludf.DUMMYFUNCTION("""COMPUTED_VALUE"""),"Owen Schulz")</f>
        <v>Owen Schulz</v>
      </c>
      <c r="C1650" s="189">
        <f ca="1">IFERROR(__xludf.DUMMYFUNCTION("""COMPUTED_VALUE"""),13)</f>
        <v>13</v>
      </c>
      <c r="D1650" s="189" t="str">
        <f ca="1">IFERROR(__xludf.DUMMYFUNCTION("""COMPUTED_VALUE"""),"B")</f>
        <v>B</v>
      </c>
      <c r="E1650" s="189" t="str">
        <f ca="1">IFERROR(__xludf.DUMMYFUNCTION("""COMPUTED_VALUE"""),"I")</f>
        <v>I</v>
      </c>
      <c r="F1650" s="189" t="str">
        <f ca="1">IFERROR(__xludf.DUMMYFUNCTION("""COMPUTED_VALUE"""),"S")</f>
        <v>S</v>
      </c>
      <c r="G1650" s="189">
        <f ca="1">IFERROR(__xludf.DUMMYFUNCTION("""COMPUTED_VALUE"""),2)</f>
        <v>2</v>
      </c>
      <c r="H1650" s="196"/>
      <c r="I1650" s="196"/>
      <c r="J1650" s="196"/>
      <c r="K1650" s="196"/>
      <c r="L1650" s="196" t="str">
        <v/>
      </c>
      <c r="M1650" s="196"/>
    </row>
    <row r="1651" spans="1:13" ht="14.4" x14ac:dyDescent="0.3">
      <c r="A1651" s="189" t="str">
        <f ca="1">IFERROR(__xludf.DUMMYFUNCTION("""COMPUTED_VALUE"""),"RH")</f>
        <v>RH</v>
      </c>
      <c r="B1651" s="195" t="str">
        <f ca="1">IFERROR(__xludf.DUMMYFUNCTION("""COMPUTED_VALUE"""),"Rob Freeman")</f>
        <v>Rob Freeman</v>
      </c>
      <c r="C1651" s="189">
        <f ca="1">IFERROR(__xludf.DUMMYFUNCTION("""COMPUTED_VALUE"""),14)</f>
        <v>14</v>
      </c>
      <c r="D1651" s="189" t="str">
        <f ca="1">IFERROR(__xludf.DUMMYFUNCTION("""COMPUTED_VALUE"""),"B")</f>
        <v>B</v>
      </c>
      <c r="E1651" s="189" t="str">
        <f ca="1">IFERROR(__xludf.DUMMYFUNCTION("""COMPUTED_VALUE"""),"I")</f>
        <v>I</v>
      </c>
      <c r="F1651" s="189" t="str">
        <f ca="1">IFERROR(__xludf.DUMMYFUNCTION("""COMPUTED_VALUE"""),"S")</f>
        <v>S</v>
      </c>
      <c r="G1651" s="189">
        <f ca="1">IFERROR(__xludf.DUMMYFUNCTION("""COMPUTED_VALUE"""),2)</f>
        <v>2</v>
      </c>
      <c r="H1651" s="196" t="s">
        <v>684</v>
      </c>
      <c r="I1651" s="196"/>
      <c r="J1651" s="196" t="s">
        <v>64</v>
      </c>
      <c r="K1651" s="196"/>
      <c r="L1651" s="196" t="str">
        <v xml:space="preserve"> -112.30</v>
      </c>
      <c r="M1651" s="196"/>
    </row>
    <row r="1652" spans="1:13" ht="14.4" x14ac:dyDescent="0.3">
      <c r="A1652" s="189" t="str">
        <f ca="1">IFERROR(__xludf.DUMMYFUNCTION("""COMPUTED_VALUE"""),"RH")</f>
        <v>RH</v>
      </c>
      <c r="B1652" s="195" t="str">
        <f ca="1">IFERROR(__xludf.DUMMYFUNCTION("""COMPUTED_VALUE"""),"Carrie Byrd")</f>
        <v>Carrie Byrd</v>
      </c>
      <c r="C1652" s="189">
        <f ca="1">IFERROR(__xludf.DUMMYFUNCTION("""COMPUTED_VALUE"""),11)</f>
        <v>11</v>
      </c>
      <c r="D1652" s="189" t="str">
        <f ca="1">IFERROR(__xludf.DUMMYFUNCTION("""COMPUTED_VALUE"""),"G")</f>
        <v>G</v>
      </c>
      <c r="E1652" s="189" t="str">
        <f ca="1">IFERROR(__xludf.DUMMYFUNCTION("""COMPUTED_VALUE"""),"J")</f>
        <v>J</v>
      </c>
      <c r="F1652" s="189" t="str">
        <f ca="1">IFERROR(__xludf.DUMMYFUNCTION("""COMPUTED_VALUE"""),"I")</f>
        <v>I</v>
      </c>
      <c r="G1652" s="189">
        <f ca="1">IFERROR(__xludf.DUMMYFUNCTION("""COMPUTED_VALUE"""),2)</f>
        <v>2</v>
      </c>
      <c r="H1652" s="196"/>
      <c r="I1652" s="196"/>
      <c r="J1652" s="196"/>
      <c r="K1652" s="196"/>
      <c r="L1652" s="196" t="str">
        <v/>
      </c>
      <c r="M1652" s="196"/>
    </row>
    <row r="1653" spans="1:13" ht="14.4" x14ac:dyDescent="0.3">
      <c r="A1653" s="189" t="str">
        <f ca="1">IFERROR(__xludf.DUMMYFUNCTION("""COMPUTED_VALUE"""),"RH")</f>
        <v>RH</v>
      </c>
      <c r="B1653" s="195" t="str">
        <f ca="1">IFERROR(__xludf.DUMMYFUNCTION("""COMPUTED_VALUE"""),"Jada Jones")</f>
        <v>Jada Jones</v>
      </c>
      <c r="C1653" s="189">
        <f ca="1">IFERROR(__xludf.DUMMYFUNCTION("""COMPUTED_VALUE"""),12)</f>
        <v>12</v>
      </c>
      <c r="D1653" s="189" t="str">
        <f ca="1">IFERROR(__xludf.DUMMYFUNCTION("""COMPUTED_VALUE"""),"G")</f>
        <v>G</v>
      </c>
      <c r="E1653" s="189" t="str">
        <f ca="1">IFERROR(__xludf.DUMMYFUNCTION("""COMPUTED_VALUE"""),"J")</f>
        <v>J</v>
      </c>
      <c r="F1653" s="189" t="str">
        <f ca="1">IFERROR(__xludf.DUMMYFUNCTION("""COMPUTED_VALUE"""),"I")</f>
        <v>I</v>
      </c>
      <c r="G1653" s="189">
        <f ca="1">IFERROR(__xludf.DUMMYFUNCTION("""COMPUTED_VALUE"""),2)</f>
        <v>2</v>
      </c>
      <c r="H1653" s="196" t="s">
        <v>685</v>
      </c>
      <c r="I1653" s="196"/>
      <c r="J1653" s="196" t="s">
        <v>29</v>
      </c>
      <c r="K1653" s="196"/>
      <c r="L1653" s="196" t="str">
        <v xml:space="preserve"> 77.70</v>
      </c>
      <c r="M1653" s="196"/>
    </row>
    <row r="1654" spans="1:13" ht="14.4" x14ac:dyDescent="0.3">
      <c r="A1654" s="189" t="str">
        <f ca="1">IFERROR(__xludf.DUMMYFUNCTION("""COMPUTED_VALUE"""),"RH")</f>
        <v>RH</v>
      </c>
      <c r="B1654" s="195" t="str">
        <f ca="1">IFERROR(__xludf.DUMMYFUNCTION("""COMPUTED_VALUE"""),"Katelyn Thackaberry")</f>
        <v>Katelyn Thackaberry</v>
      </c>
      <c r="C1654" s="189">
        <f ca="1">IFERROR(__xludf.DUMMYFUNCTION("""COMPUTED_VALUE"""),12)</f>
        <v>12</v>
      </c>
      <c r="D1654" s="189" t="str">
        <f ca="1">IFERROR(__xludf.DUMMYFUNCTION("""COMPUTED_VALUE"""),"G")</f>
        <v>G</v>
      </c>
      <c r="E1654" s="189" t="str">
        <f ca="1">IFERROR(__xludf.DUMMYFUNCTION("""COMPUTED_VALUE"""),"J")</f>
        <v>J</v>
      </c>
      <c r="F1654" s="189" t="str">
        <f ca="1">IFERROR(__xludf.DUMMYFUNCTION("""COMPUTED_VALUE"""),"I")</f>
        <v>I</v>
      </c>
      <c r="G1654" s="189">
        <f ca="1">IFERROR(__xludf.DUMMYFUNCTION("""COMPUTED_VALUE"""),2)</f>
        <v>2</v>
      </c>
      <c r="H1654" s="196" t="s">
        <v>686</v>
      </c>
      <c r="I1654" s="196"/>
      <c r="J1654" s="196" t="s">
        <v>29</v>
      </c>
      <c r="K1654" s="196"/>
      <c r="L1654" s="196" t="str">
        <v xml:space="preserve"> 82.80</v>
      </c>
      <c r="M1654" s="196"/>
    </row>
    <row r="1655" spans="1:13" ht="14.4" x14ac:dyDescent="0.3">
      <c r="A1655" s="189" t="str">
        <f ca="1">IFERROR(__xludf.DUMMYFUNCTION("""COMPUTED_VALUE"""),"RH")</f>
        <v>RH</v>
      </c>
      <c r="B1655" s="195" t="str">
        <f ca="1">IFERROR(__xludf.DUMMYFUNCTION("""COMPUTED_VALUE"""),"Lilly Jessup")</f>
        <v>Lilly Jessup</v>
      </c>
      <c r="C1655" s="189">
        <f ca="1">IFERROR(__xludf.DUMMYFUNCTION("""COMPUTED_VALUE"""),12)</f>
        <v>12</v>
      </c>
      <c r="D1655" s="189" t="str">
        <f ca="1">IFERROR(__xludf.DUMMYFUNCTION("""COMPUTED_VALUE"""),"G")</f>
        <v>G</v>
      </c>
      <c r="E1655" s="189" t="str">
        <f ca="1">IFERROR(__xludf.DUMMYFUNCTION("""COMPUTED_VALUE"""),"J")</f>
        <v>J</v>
      </c>
      <c r="F1655" s="189" t="str">
        <f ca="1">IFERROR(__xludf.DUMMYFUNCTION("""COMPUTED_VALUE"""),"I")</f>
        <v>I</v>
      </c>
      <c r="G1655" s="189">
        <f ca="1">IFERROR(__xludf.DUMMYFUNCTION("""COMPUTED_VALUE"""),2)</f>
        <v>2</v>
      </c>
      <c r="H1655" s="196" t="s">
        <v>687</v>
      </c>
      <c r="I1655" s="196"/>
      <c r="J1655" s="196" t="s">
        <v>64</v>
      </c>
      <c r="K1655" s="196"/>
      <c r="L1655" s="196" t="str">
        <v xml:space="preserve"> -116.60</v>
      </c>
      <c r="M1655" s="196"/>
    </row>
    <row r="1656" spans="1:13" ht="14.4" x14ac:dyDescent="0.3">
      <c r="A1656" s="189" t="str">
        <f ca="1">IFERROR(__xludf.DUMMYFUNCTION("""COMPUTED_VALUE"""),"RH")</f>
        <v>RH</v>
      </c>
      <c r="B1656" s="195" t="str">
        <f ca="1">IFERROR(__xludf.DUMMYFUNCTION("""COMPUTED_VALUE"""),"Liv Freeman")</f>
        <v>Liv Freeman</v>
      </c>
      <c r="C1656" s="189">
        <f ca="1">IFERROR(__xludf.DUMMYFUNCTION("""COMPUTED_VALUE"""),12)</f>
        <v>12</v>
      </c>
      <c r="D1656" s="189" t="str">
        <f ca="1">IFERROR(__xludf.DUMMYFUNCTION("""COMPUTED_VALUE"""),"G")</f>
        <v>G</v>
      </c>
      <c r="E1656" s="189" t="str">
        <f ca="1">IFERROR(__xludf.DUMMYFUNCTION("""COMPUTED_VALUE"""),"J")</f>
        <v>J</v>
      </c>
      <c r="F1656" s="189" t="str">
        <f ca="1">IFERROR(__xludf.DUMMYFUNCTION("""COMPUTED_VALUE"""),"I")</f>
        <v>I</v>
      </c>
      <c r="G1656" s="189">
        <f ca="1">IFERROR(__xludf.DUMMYFUNCTION("""COMPUTED_VALUE"""),2)</f>
        <v>2</v>
      </c>
      <c r="H1656" s="196"/>
      <c r="I1656" s="196"/>
      <c r="J1656" s="196"/>
      <c r="K1656" s="196"/>
      <c r="L1656" s="196" t="str">
        <v/>
      </c>
      <c r="M1656" s="196"/>
    </row>
    <row r="1657" spans="1:13" ht="14.4" x14ac:dyDescent="0.3">
      <c r="A1657" s="189" t="str">
        <f ca="1">IFERROR(__xludf.DUMMYFUNCTION("""COMPUTED_VALUE"""),"RH")</f>
        <v>RH</v>
      </c>
      <c r="B1657" s="195" t="str">
        <f ca="1">IFERROR(__xludf.DUMMYFUNCTION("""COMPUTED_VALUE"""),"Natasha Sauchuk")</f>
        <v>Natasha Sauchuk</v>
      </c>
      <c r="C1657" s="189">
        <f ca="1">IFERROR(__xludf.DUMMYFUNCTION("""COMPUTED_VALUE"""),11)</f>
        <v>11</v>
      </c>
      <c r="D1657" s="189" t="str">
        <f ca="1">IFERROR(__xludf.DUMMYFUNCTION("""COMPUTED_VALUE"""),"G")</f>
        <v>G</v>
      </c>
      <c r="E1657" s="189" t="str">
        <f ca="1">IFERROR(__xludf.DUMMYFUNCTION("""COMPUTED_VALUE"""),"J")</f>
        <v>J</v>
      </c>
      <c r="F1657" s="189" t="str">
        <f ca="1">IFERROR(__xludf.DUMMYFUNCTION("""COMPUTED_VALUE"""),"I")</f>
        <v>I</v>
      </c>
      <c r="G1657" s="189">
        <f ca="1">IFERROR(__xludf.DUMMYFUNCTION("""COMPUTED_VALUE"""),2)</f>
        <v>2</v>
      </c>
      <c r="H1657" s="196"/>
      <c r="I1657" s="196"/>
      <c r="J1657" s="196"/>
      <c r="K1657" s="196"/>
      <c r="L1657" s="196" t="str">
        <v/>
      </c>
      <c r="M1657" s="196"/>
    </row>
    <row r="1658" spans="1:13" ht="14.4" x14ac:dyDescent="0.3">
      <c r="A1658" s="189" t="str">
        <f ca="1">IFERROR(__xludf.DUMMYFUNCTION("""COMPUTED_VALUE"""),"RH")</f>
        <v>RH</v>
      </c>
      <c r="B1658" s="195" t="str">
        <f ca="1">IFERROR(__xludf.DUMMYFUNCTION("""COMPUTED_VALUE"""),"Quinn Zahler")</f>
        <v>Quinn Zahler</v>
      </c>
      <c r="C1658" s="189">
        <f ca="1">IFERROR(__xludf.DUMMYFUNCTION("""COMPUTED_VALUE"""),11)</f>
        <v>11</v>
      </c>
      <c r="D1658" s="189" t="str">
        <f ca="1">IFERROR(__xludf.DUMMYFUNCTION("""COMPUTED_VALUE"""),"G")</f>
        <v>G</v>
      </c>
      <c r="E1658" s="189" t="str">
        <f ca="1">IFERROR(__xludf.DUMMYFUNCTION("""COMPUTED_VALUE"""),"J")</f>
        <v>J</v>
      </c>
      <c r="F1658" s="189" t="str">
        <f ca="1">IFERROR(__xludf.DUMMYFUNCTION("""COMPUTED_VALUE"""),"I")</f>
        <v>I</v>
      </c>
      <c r="G1658" s="189">
        <f ca="1">IFERROR(__xludf.DUMMYFUNCTION("""COMPUTED_VALUE"""),2)</f>
        <v>2</v>
      </c>
      <c r="H1658" s="196" t="s">
        <v>688</v>
      </c>
      <c r="I1658" s="196"/>
      <c r="J1658" s="196" t="s">
        <v>29</v>
      </c>
      <c r="K1658" s="196"/>
      <c r="L1658" s="196" t="str">
        <v xml:space="preserve"> 80.60</v>
      </c>
      <c r="M1658" s="196"/>
    </row>
    <row r="1659" spans="1:13" ht="14.4" x14ac:dyDescent="0.3">
      <c r="A1659" s="189" t="str">
        <f ca="1">IFERROR(__xludf.DUMMYFUNCTION("""COMPUTED_VALUE"""),"RH")</f>
        <v>RH</v>
      </c>
      <c r="B1659" s="195" t="str">
        <f ca="1">IFERROR(__xludf.DUMMYFUNCTION("""COMPUTED_VALUE"""),"Victoria Matthews")</f>
        <v>Victoria Matthews</v>
      </c>
      <c r="C1659" s="189">
        <f ca="1">IFERROR(__xludf.DUMMYFUNCTION("""COMPUTED_VALUE"""),11)</f>
        <v>11</v>
      </c>
      <c r="D1659" s="189" t="str">
        <f ca="1">IFERROR(__xludf.DUMMYFUNCTION("""COMPUTED_VALUE"""),"G")</f>
        <v>G</v>
      </c>
      <c r="E1659" s="189" t="str">
        <f ca="1">IFERROR(__xludf.DUMMYFUNCTION("""COMPUTED_VALUE"""),"J")</f>
        <v>J</v>
      </c>
      <c r="F1659" s="189" t="str">
        <f ca="1">IFERROR(__xludf.DUMMYFUNCTION("""COMPUTED_VALUE"""),"I")</f>
        <v>I</v>
      </c>
      <c r="G1659" s="189">
        <f ca="1">IFERROR(__xludf.DUMMYFUNCTION("""COMPUTED_VALUE"""),2)</f>
        <v>2</v>
      </c>
      <c r="H1659" s="196"/>
      <c r="I1659" s="196"/>
      <c r="J1659" s="196"/>
      <c r="K1659" s="196"/>
      <c r="L1659" s="196" t="str">
        <v/>
      </c>
      <c r="M1659" s="196"/>
    </row>
    <row r="1660" spans="1:13" ht="14.4" x14ac:dyDescent="0.3">
      <c r="A1660" s="189" t="str">
        <f ca="1">IFERROR(__xludf.DUMMYFUNCTION("""COMPUTED_VALUE"""),"RH")</f>
        <v>RH</v>
      </c>
      <c r="B1660" s="195" t="str">
        <f ca="1">IFERROR(__xludf.DUMMYFUNCTION("""COMPUTED_VALUE"""),"Xanthy Kuehne")</f>
        <v>Xanthy Kuehne</v>
      </c>
      <c r="C1660" s="189">
        <f ca="1">IFERROR(__xludf.DUMMYFUNCTION("""COMPUTED_VALUE"""),11)</f>
        <v>11</v>
      </c>
      <c r="D1660" s="189" t="str">
        <f ca="1">IFERROR(__xludf.DUMMYFUNCTION("""COMPUTED_VALUE"""),"G")</f>
        <v>G</v>
      </c>
      <c r="E1660" s="189" t="str">
        <f ca="1">IFERROR(__xludf.DUMMYFUNCTION("""COMPUTED_VALUE"""),"J")</f>
        <v>J</v>
      </c>
      <c r="F1660" s="189" t="str">
        <f ca="1">IFERROR(__xludf.DUMMYFUNCTION("""COMPUTED_VALUE"""),"I")</f>
        <v>I</v>
      </c>
      <c r="G1660" s="189">
        <f ca="1">IFERROR(__xludf.DUMMYFUNCTION("""COMPUTED_VALUE"""),2)</f>
        <v>2</v>
      </c>
      <c r="H1660" s="196"/>
      <c r="I1660" s="196"/>
      <c r="J1660" s="196"/>
      <c r="K1660" s="196"/>
      <c r="L1660" s="196" t="str">
        <v/>
      </c>
      <c r="M1660" s="196"/>
    </row>
    <row r="1661" spans="1:13" ht="14.4" x14ac:dyDescent="0.3">
      <c r="A1661" s="189" t="str">
        <f ca="1">IFERROR(__xludf.DUMMYFUNCTION("""COMPUTED_VALUE"""),"RH")</f>
        <v>RH</v>
      </c>
      <c r="B1661" s="195" t="str">
        <f ca="1">IFERROR(__xludf.DUMMYFUNCTION("""COMPUTED_VALUE"""),"Aadi Bhartiya")</f>
        <v>Aadi Bhartiya</v>
      </c>
      <c r="C1661" s="189">
        <f ca="1">IFERROR(__xludf.DUMMYFUNCTION("""COMPUTED_VALUE"""),11)</f>
        <v>11</v>
      </c>
      <c r="D1661" s="189" t="str">
        <f ca="1">IFERROR(__xludf.DUMMYFUNCTION("""COMPUTED_VALUE"""),"B")</f>
        <v>B</v>
      </c>
      <c r="E1661" s="189" t="str">
        <f ca="1">IFERROR(__xludf.DUMMYFUNCTION("""COMPUTED_VALUE"""),"J")</f>
        <v>J</v>
      </c>
      <c r="F1661" s="189" t="str">
        <f ca="1">IFERROR(__xludf.DUMMYFUNCTION("""COMPUTED_VALUE"""),"I")</f>
        <v>I</v>
      </c>
      <c r="G1661" s="189">
        <f ca="1">IFERROR(__xludf.DUMMYFUNCTION("""COMPUTED_VALUE"""),2)</f>
        <v>2</v>
      </c>
      <c r="H1661" s="196"/>
      <c r="I1661" s="196"/>
      <c r="J1661" s="196"/>
      <c r="K1661" s="196"/>
      <c r="L1661" s="196" t="str">
        <v/>
      </c>
      <c r="M1661" s="196"/>
    </row>
    <row r="1662" spans="1:13" ht="14.4" x14ac:dyDescent="0.3">
      <c r="A1662" s="189" t="str">
        <f ca="1">IFERROR(__xludf.DUMMYFUNCTION("""COMPUTED_VALUE"""),"RH")</f>
        <v>RH</v>
      </c>
      <c r="B1662" s="195" t="str">
        <f ca="1">IFERROR(__xludf.DUMMYFUNCTION("""COMPUTED_VALUE"""),"Curt Berry")</f>
        <v>Curt Berry</v>
      </c>
      <c r="C1662" s="189">
        <f ca="1">IFERROR(__xludf.DUMMYFUNCTION("""COMPUTED_VALUE"""),11)</f>
        <v>11</v>
      </c>
      <c r="D1662" s="189" t="str">
        <f ca="1">IFERROR(__xludf.DUMMYFUNCTION("""COMPUTED_VALUE"""),"B")</f>
        <v>B</v>
      </c>
      <c r="E1662" s="189" t="str">
        <f ca="1">IFERROR(__xludf.DUMMYFUNCTION("""COMPUTED_VALUE"""),"J")</f>
        <v>J</v>
      </c>
      <c r="F1662" s="189" t="str">
        <f ca="1">IFERROR(__xludf.DUMMYFUNCTION("""COMPUTED_VALUE"""),"I")</f>
        <v>I</v>
      </c>
      <c r="G1662" s="189">
        <f ca="1">IFERROR(__xludf.DUMMYFUNCTION("""COMPUTED_VALUE"""),2)</f>
        <v>2</v>
      </c>
      <c r="H1662" s="196" t="s">
        <v>689</v>
      </c>
      <c r="I1662" s="196"/>
      <c r="J1662" s="196" t="s">
        <v>29</v>
      </c>
      <c r="K1662" s="196"/>
      <c r="L1662" s="196" t="str">
        <v xml:space="preserve"> 69.90</v>
      </c>
      <c r="M1662" s="196"/>
    </row>
    <row r="1663" spans="1:13" ht="14.4" x14ac:dyDescent="0.3">
      <c r="A1663" s="189" t="str">
        <f ca="1">IFERROR(__xludf.DUMMYFUNCTION("""COMPUTED_VALUE"""),"RH")</f>
        <v>RH</v>
      </c>
      <c r="B1663" s="195" t="str">
        <f ca="1">IFERROR(__xludf.DUMMYFUNCTION("""COMPUTED_VALUE"""),"David Shriber")</f>
        <v>David Shriber</v>
      </c>
      <c r="C1663" s="189">
        <f ca="1">IFERROR(__xludf.DUMMYFUNCTION("""COMPUTED_VALUE"""),11)</f>
        <v>11</v>
      </c>
      <c r="D1663" s="189" t="str">
        <f ca="1">IFERROR(__xludf.DUMMYFUNCTION("""COMPUTED_VALUE"""),"B")</f>
        <v>B</v>
      </c>
      <c r="E1663" s="189" t="str">
        <f ca="1">IFERROR(__xludf.DUMMYFUNCTION("""COMPUTED_VALUE"""),"J")</f>
        <v>J</v>
      </c>
      <c r="F1663" s="189" t="str">
        <f ca="1">IFERROR(__xludf.DUMMYFUNCTION("""COMPUTED_VALUE"""),"I")</f>
        <v>I</v>
      </c>
      <c r="G1663" s="189">
        <f ca="1">IFERROR(__xludf.DUMMYFUNCTION("""COMPUTED_VALUE"""),2)</f>
        <v>2</v>
      </c>
      <c r="H1663" s="196"/>
      <c r="I1663" s="196"/>
      <c r="J1663" s="196"/>
      <c r="K1663" s="196"/>
      <c r="L1663" s="196" t="str">
        <v/>
      </c>
      <c r="M1663" s="196"/>
    </row>
    <row r="1664" spans="1:13" ht="14.4" x14ac:dyDescent="0.3">
      <c r="A1664" s="189" t="str">
        <f ca="1">IFERROR(__xludf.DUMMYFUNCTION("""COMPUTED_VALUE"""),"RH")</f>
        <v>RH</v>
      </c>
      <c r="B1664" s="195" t="str">
        <f ca="1">IFERROR(__xludf.DUMMYFUNCTION("""COMPUTED_VALUE"""),"Finn Rogers")</f>
        <v>Finn Rogers</v>
      </c>
      <c r="C1664" s="189">
        <f ca="1">IFERROR(__xludf.DUMMYFUNCTION("""COMPUTED_VALUE"""),11)</f>
        <v>11</v>
      </c>
      <c r="D1664" s="189" t="str">
        <f ca="1">IFERROR(__xludf.DUMMYFUNCTION("""COMPUTED_VALUE"""),"B")</f>
        <v>B</v>
      </c>
      <c r="E1664" s="189" t="str">
        <f ca="1">IFERROR(__xludf.DUMMYFUNCTION("""COMPUTED_VALUE"""),"J")</f>
        <v>J</v>
      </c>
      <c r="F1664" s="189" t="str">
        <f ca="1">IFERROR(__xludf.DUMMYFUNCTION("""COMPUTED_VALUE"""),"I")</f>
        <v>I</v>
      </c>
      <c r="G1664" s="189">
        <f ca="1">IFERROR(__xludf.DUMMYFUNCTION("""COMPUTED_VALUE"""),2)</f>
        <v>2</v>
      </c>
      <c r="H1664" s="196" t="s">
        <v>690</v>
      </c>
      <c r="I1664" s="196"/>
      <c r="J1664" s="196" t="s">
        <v>29</v>
      </c>
      <c r="K1664" s="196"/>
      <c r="L1664" s="196" t="str">
        <v xml:space="preserve"> 48.60</v>
      </c>
      <c r="M1664" s="196"/>
    </row>
    <row r="1665" spans="1:13" ht="14.4" x14ac:dyDescent="0.3">
      <c r="A1665" s="189" t="str">
        <f ca="1">IFERROR(__xludf.DUMMYFUNCTION("""COMPUTED_VALUE"""),"RH")</f>
        <v>RH</v>
      </c>
      <c r="B1665" s="195" t="str">
        <f ca="1">IFERROR(__xludf.DUMMYFUNCTION("""COMPUTED_VALUE"""),"Ian Thackaberry")</f>
        <v>Ian Thackaberry</v>
      </c>
      <c r="C1665" s="189">
        <f ca="1">IFERROR(__xludf.DUMMYFUNCTION("""COMPUTED_VALUE"""),11)</f>
        <v>11</v>
      </c>
      <c r="D1665" s="189" t="str">
        <f ca="1">IFERROR(__xludf.DUMMYFUNCTION("""COMPUTED_VALUE"""),"B")</f>
        <v>B</v>
      </c>
      <c r="E1665" s="189" t="str">
        <f ca="1">IFERROR(__xludf.DUMMYFUNCTION("""COMPUTED_VALUE"""),"J")</f>
        <v>J</v>
      </c>
      <c r="F1665" s="189" t="str">
        <f ca="1">IFERROR(__xludf.DUMMYFUNCTION("""COMPUTED_VALUE"""),"I")</f>
        <v>I</v>
      </c>
      <c r="G1665" s="189">
        <f ca="1">IFERROR(__xludf.DUMMYFUNCTION("""COMPUTED_VALUE"""),2)</f>
        <v>2</v>
      </c>
      <c r="H1665" s="196" t="s">
        <v>480</v>
      </c>
      <c r="I1665" s="196"/>
      <c r="J1665" s="196" t="s">
        <v>29</v>
      </c>
      <c r="K1665" s="196"/>
      <c r="L1665" s="196" t="str">
        <v xml:space="preserve"> 74.70</v>
      </c>
      <c r="M1665" s="196"/>
    </row>
    <row r="1666" spans="1:13" ht="14.4" x14ac:dyDescent="0.3">
      <c r="A1666" s="189" t="str">
        <f ca="1">IFERROR(__xludf.DUMMYFUNCTION("""COMPUTED_VALUE"""),"RH")</f>
        <v>RH</v>
      </c>
      <c r="B1666" s="195" t="str">
        <f ca="1">IFERROR(__xludf.DUMMYFUNCTION("""COMPUTED_VALUE"""),"Jack Flanagan")</f>
        <v>Jack Flanagan</v>
      </c>
      <c r="C1666" s="189">
        <f ca="1">IFERROR(__xludf.DUMMYFUNCTION("""COMPUTED_VALUE"""),12)</f>
        <v>12</v>
      </c>
      <c r="D1666" s="189" t="str">
        <f ca="1">IFERROR(__xludf.DUMMYFUNCTION("""COMPUTED_VALUE"""),"B")</f>
        <v>B</v>
      </c>
      <c r="E1666" s="189" t="str">
        <f ca="1">IFERROR(__xludf.DUMMYFUNCTION("""COMPUTED_VALUE"""),"J")</f>
        <v>J</v>
      </c>
      <c r="F1666" s="189" t="str">
        <f ca="1">IFERROR(__xludf.DUMMYFUNCTION("""COMPUTED_VALUE"""),"I")</f>
        <v>I</v>
      </c>
      <c r="G1666" s="189">
        <f ca="1">IFERROR(__xludf.DUMMYFUNCTION("""COMPUTED_VALUE"""),2)</f>
        <v>2</v>
      </c>
      <c r="H1666" s="196" t="s">
        <v>691</v>
      </c>
      <c r="I1666" s="196"/>
      <c r="J1666" s="196" t="s">
        <v>29</v>
      </c>
      <c r="K1666" s="196"/>
      <c r="L1666" s="196" t="str">
        <v xml:space="preserve"> 74.90</v>
      </c>
      <c r="M1666" s="196"/>
    </row>
    <row r="1667" spans="1:13" ht="14.4" x14ac:dyDescent="0.3">
      <c r="A1667" s="189" t="str">
        <f ca="1">IFERROR(__xludf.DUMMYFUNCTION("""COMPUTED_VALUE"""),"RH")</f>
        <v>RH</v>
      </c>
      <c r="B1667" s="195" t="str">
        <f ca="1">IFERROR(__xludf.DUMMYFUNCTION("""COMPUTED_VALUE"""),"Jackson Waller")</f>
        <v>Jackson Waller</v>
      </c>
      <c r="C1667" s="189">
        <f ca="1">IFERROR(__xludf.DUMMYFUNCTION("""COMPUTED_VALUE"""),12)</f>
        <v>12</v>
      </c>
      <c r="D1667" s="189" t="str">
        <f ca="1">IFERROR(__xludf.DUMMYFUNCTION("""COMPUTED_VALUE"""),"B")</f>
        <v>B</v>
      </c>
      <c r="E1667" s="189" t="str">
        <f ca="1">IFERROR(__xludf.DUMMYFUNCTION("""COMPUTED_VALUE"""),"J")</f>
        <v>J</v>
      </c>
      <c r="F1667" s="189" t="str">
        <f ca="1">IFERROR(__xludf.DUMMYFUNCTION("""COMPUTED_VALUE"""),"I")</f>
        <v>I</v>
      </c>
      <c r="G1667" s="189">
        <f ca="1">IFERROR(__xludf.DUMMYFUNCTION("""COMPUTED_VALUE"""),2)</f>
        <v>2</v>
      </c>
      <c r="H1667" s="196"/>
      <c r="I1667" s="196"/>
      <c r="J1667" s="196"/>
      <c r="K1667" s="196"/>
      <c r="L1667" s="196" t="str">
        <v/>
      </c>
      <c r="M1667" s="196"/>
    </row>
    <row r="1668" spans="1:13" ht="14.4" x14ac:dyDescent="0.3">
      <c r="A1668" s="189" t="str">
        <f ca="1">IFERROR(__xludf.DUMMYFUNCTION("""COMPUTED_VALUE"""),"RH")</f>
        <v>RH</v>
      </c>
      <c r="B1668" s="195" t="str">
        <f ca="1">IFERROR(__xludf.DUMMYFUNCTION("""COMPUTED_VALUE"""),"Patrick Mulholland")</f>
        <v>Patrick Mulholland</v>
      </c>
      <c r="C1668" s="189">
        <f ca="1">IFERROR(__xludf.DUMMYFUNCTION("""COMPUTED_VALUE"""),12)</f>
        <v>12</v>
      </c>
      <c r="D1668" s="189" t="str">
        <f ca="1">IFERROR(__xludf.DUMMYFUNCTION("""COMPUTED_VALUE"""),"B")</f>
        <v>B</v>
      </c>
      <c r="E1668" s="189" t="str">
        <f ca="1">IFERROR(__xludf.DUMMYFUNCTION("""COMPUTED_VALUE"""),"J")</f>
        <v>J</v>
      </c>
      <c r="F1668" s="189" t="str">
        <f ca="1">IFERROR(__xludf.DUMMYFUNCTION("""COMPUTED_VALUE"""),"I")</f>
        <v>I</v>
      </c>
      <c r="G1668" s="189">
        <f ca="1">IFERROR(__xludf.DUMMYFUNCTION("""COMPUTED_VALUE"""),2)</f>
        <v>2</v>
      </c>
      <c r="H1668" s="196"/>
      <c r="I1668" s="196"/>
      <c r="J1668" s="196"/>
      <c r="K1668" s="196"/>
      <c r="L1668" s="196" t="str">
        <v/>
      </c>
      <c r="M1668" s="196"/>
    </row>
    <row r="1669" spans="1:13" ht="14.4" x14ac:dyDescent="0.3">
      <c r="A1669" s="189" t="str">
        <f ca="1">IFERROR(__xludf.DUMMYFUNCTION("""COMPUTED_VALUE"""),"RH")</f>
        <v>RH</v>
      </c>
      <c r="B1669" s="195" t="str">
        <f ca="1">IFERROR(__xludf.DUMMYFUNCTION("""COMPUTED_VALUE"""),"Zaid Raheem")</f>
        <v>Zaid Raheem</v>
      </c>
      <c r="C1669" s="189">
        <f ca="1">IFERROR(__xludf.DUMMYFUNCTION("""COMPUTED_VALUE"""),11)</f>
        <v>11</v>
      </c>
      <c r="D1669" s="189" t="str">
        <f ca="1">IFERROR(__xludf.DUMMYFUNCTION("""COMPUTED_VALUE"""),"B")</f>
        <v>B</v>
      </c>
      <c r="E1669" s="189" t="str">
        <f ca="1">IFERROR(__xludf.DUMMYFUNCTION("""COMPUTED_VALUE"""),"J")</f>
        <v>J</v>
      </c>
      <c r="F1669" s="189" t="str">
        <f ca="1">IFERROR(__xludf.DUMMYFUNCTION("""COMPUTED_VALUE"""),"I")</f>
        <v>I</v>
      </c>
      <c r="G1669" s="189">
        <f ca="1">IFERROR(__xludf.DUMMYFUNCTION("""COMPUTED_VALUE"""),2)</f>
        <v>2</v>
      </c>
      <c r="H1669" s="196" t="s">
        <v>692</v>
      </c>
      <c r="I1669" s="196"/>
      <c r="J1669" s="196" t="s">
        <v>29</v>
      </c>
      <c r="K1669" s="196"/>
      <c r="L1669" s="196" t="str">
        <v xml:space="preserve"> 54.65</v>
      </c>
      <c r="M1669" s="196"/>
    </row>
    <row r="1670" spans="1:13" ht="14.4" x14ac:dyDescent="0.3">
      <c r="A1670" s="189" t="str">
        <f ca="1">IFERROR(__xludf.DUMMYFUNCTION("""COMPUTED_VALUE"""),"RH")</f>
        <v>RH</v>
      </c>
      <c r="B1670" s="195" t="str">
        <f ca="1">IFERROR(__xludf.DUMMYFUNCTION("""COMPUTED_VALUE"""),"Anna Blauser")</f>
        <v>Anna Blauser</v>
      </c>
      <c r="C1670" s="189">
        <f ca="1">IFERROR(__xludf.DUMMYFUNCTION("""COMPUTED_VALUE"""),15)</f>
        <v>15</v>
      </c>
      <c r="D1670" s="189" t="str">
        <f ca="1">IFERROR(__xludf.DUMMYFUNCTION("""COMPUTED_VALUE"""),"G")</f>
        <v>G</v>
      </c>
      <c r="E1670" s="189" t="str">
        <f ca="1">IFERROR(__xludf.DUMMYFUNCTION("""COMPUTED_VALUE"""),"S")</f>
        <v>S</v>
      </c>
      <c r="F1670" s="189" t="str">
        <f ca="1">IFERROR(__xludf.DUMMYFUNCTION("""COMPUTED_VALUE"""),"S")</f>
        <v>S</v>
      </c>
      <c r="G1670" s="189">
        <f ca="1">IFERROR(__xludf.DUMMYFUNCTION("""COMPUTED_VALUE"""),2)</f>
        <v>2</v>
      </c>
      <c r="H1670" s="196"/>
      <c r="I1670" s="196"/>
      <c r="J1670" s="196"/>
      <c r="K1670" s="196"/>
      <c r="L1670" s="196" t="str">
        <v/>
      </c>
      <c r="M1670" s="196"/>
    </row>
    <row r="1671" spans="1:13" ht="14.4" x14ac:dyDescent="0.3">
      <c r="A1671" s="189" t="str">
        <f ca="1">IFERROR(__xludf.DUMMYFUNCTION("""COMPUTED_VALUE"""),"RH")</f>
        <v>RH</v>
      </c>
      <c r="B1671" s="195" t="str">
        <f ca="1">IFERROR(__xludf.DUMMYFUNCTION("""COMPUTED_VALUE"""),"Caitlyn Delaney")</f>
        <v>Caitlyn Delaney</v>
      </c>
      <c r="C1671" s="189">
        <f ca="1">IFERROR(__xludf.DUMMYFUNCTION("""COMPUTED_VALUE"""),16)</f>
        <v>16</v>
      </c>
      <c r="D1671" s="189" t="str">
        <f ca="1">IFERROR(__xludf.DUMMYFUNCTION("""COMPUTED_VALUE"""),"G")</f>
        <v>G</v>
      </c>
      <c r="E1671" s="189" t="str">
        <f ca="1">IFERROR(__xludf.DUMMYFUNCTION("""COMPUTED_VALUE"""),"S")</f>
        <v>S</v>
      </c>
      <c r="F1671" s="189" t="str">
        <f ca="1">IFERROR(__xludf.DUMMYFUNCTION("""COMPUTED_VALUE"""),"S")</f>
        <v>S</v>
      </c>
      <c r="G1671" s="189">
        <f ca="1">IFERROR(__xludf.DUMMYFUNCTION("""COMPUTED_VALUE"""),2)</f>
        <v>2</v>
      </c>
      <c r="H1671" s="196" t="s">
        <v>693</v>
      </c>
      <c r="I1671" s="196"/>
      <c r="J1671" s="196" t="s">
        <v>29</v>
      </c>
      <c r="K1671" s="196"/>
      <c r="L1671" s="196" t="str">
        <v xml:space="preserve"> 86.40</v>
      </c>
      <c r="M1671" s="196"/>
    </row>
    <row r="1672" spans="1:13" ht="14.4" x14ac:dyDescent="0.3">
      <c r="A1672" s="189" t="str">
        <f ca="1">IFERROR(__xludf.DUMMYFUNCTION("""COMPUTED_VALUE"""),"RH")</f>
        <v>RH</v>
      </c>
      <c r="B1672" s="195" t="str">
        <f ca="1">IFERROR(__xludf.DUMMYFUNCTION("""COMPUTED_VALUE"""),"Natalia Sayasithsena")</f>
        <v>Natalia Sayasithsena</v>
      </c>
      <c r="C1672" s="189">
        <f ca="1">IFERROR(__xludf.DUMMYFUNCTION("""COMPUTED_VALUE"""),16)</f>
        <v>16</v>
      </c>
      <c r="D1672" s="189" t="str">
        <f ca="1">IFERROR(__xludf.DUMMYFUNCTION("""COMPUTED_VALUE"""),"G")</f>
        <v>G</v>
      </c>
      <c r="E1672" s="189" t="str">
        <f ca="1">IFERROR(__xludf.DUMMYFUNCTION("""COMPUTED_VALUE"""),"S")</f>
        <v>S</v>
      </c>
      <c r="F1672" s="189" t="str">
        <f ca="1">IFERROR(__xludf.DUMMYFUNCTION("""COMPUTED_VALUE"""),"S")</f>
        <v>S</v>
      </c>
      <c r="G1672" s="189">
        <f ca="1">IFERROR(__xludf.DUMMYFUNCTION("""COMPUTED_VALUE"""),2)</f>
        <v>2</v>
      </c>
      <c r="H1672" s="196" t="s">
        <v>694</v>
      </c>
      <c r="I1672" s="196"/>
      <c r="J1672" s="196" t="s">
        <v>29</v>
      </c>
      <c r="K1672" s="196"/>
      <c r="L1672" s="196" t="str">
        <v xml:space="preserve"> 109.30</v>
      </c>
      <c r="M1672" s="196"/>
    </row>
    <row r="1673" spans="1:13" ht="14.4" x14ac:dyDescent="0.3">
      <c r="A1673" s="189" t="str">
        <f ca="1">IFERROR(__xludf.DUMMYFUNCTION("""COMPUTED_VALUE"""),"RH")</f>
        <v>RH</v>
      </c>
      <c r="B1673" s="195" t="str">
        <f ca="1">IFERROR(__xludf.DUMMYFUNCTION("""COMPUTED_VALUE"""),"Sophia Newtson")</f>
        <v>Sophia Newtson</v>
      </c>
      <c r="C1673" s="189">
        <f ca="1">IFERROR(__xludf.DUMMYFUNCTION("""COMPUTED_VALUE"""),15)</f>
        <v>15</v>
      </c>
      <c r="D1673" s="189" t="str">
        <f ca="1">IFERROR(__xludf.DUMMYFUNCTION("""COMPUTED_VALUE"""),"G")</f>
        <v>G</v>
      </c>
      <c r="E1673" s="189" t="str">
        <f ca="1">IFERROR(__xludf.DUMMYFUNCTION("""COMPUTED_VALUE"""),"S")</f>
        <v>S</v>
      </c>
      <c r="F1673" s="189" t="str">
        <f ca="1">IFERROR(__xludf.DUMMYFUNCTION("""COMPUTED_VALUE"""),"S")</f>
        <v>S</v>
      </c>
      <c r="G1673" s="189">
        <f ca="1">IFERROR(__xludf.DUMMYFUNCTION("""COMPUTED_VALUE"""),2)</f>
        <v>2</v>
      </c>
      <c r="H1673" s="196" t="s">
        <v>695</v>
      </c>
      <c r="I1673" s="196"/>
      <c r="J1673" s="196" t="s">
        <v>29</v>
      </c>
      <c r="K1673" s="196"/>
      <c r="L1673" s="196" t="str">
        <v xml:space="preserve"> 140.45</v>
      </c>
      <c r="M1673" s="196"/>
    </row>
    <row r="1674" spans="1:13" ht="14.4" x14ac:dyDescent="0.3">
      <c r="A1674" s="189" t="str">
        <f ca="1">IFERROR(__xludf.DUMMYFUNCTION("""COMPUTED_VALUE"""),"RH")</f>
        <v>RH</v>
      </c>
      <c r="B1674" s="195" t="str">
        <f ca="1">IFERROR(__xludf.DUMMYFUNCTION("""COMPUTED_VALUE"""),"TJ Zahler")</f>
        <v>TJ Zahler</v>
      </c>
      <c r="C1674" s="189">
        <f ca="1">IFERROR(__xludf.DUMMYFUNCTION("""COMPUTED_VALUE"""),17)</f>
        <v>17</v>
      </c>
      <c r="D1674" s="189" t="str">
        <f ca="1">IFERROR(__xludf.DUMMYFUNCTION("""COMPUTED_VALUE"""),"B")</f>
        <v>B</v>
      </c>
      <c r="E1674" s="189" t="str">
        <f ca="1">IFERROR(__xludf.DUMMYFUNCTION("""COMPUTED_VALUE"""),"S")</f>
        <v>S</v>
      </c>
      <c r="F1674" s="189" t="str">
        <f ca="1">IFERROR(__xludf.DUMMYFUNCTION("""COMPUTED_VALUE"""),"S")</f>
        <v>S</v>
      </c>
      <c r="G1674" s="189">
        <f ca="1">IFERROR(__xludf.DUMMYFUNCTION("""COMPUTED_VALUE"""),2)</f>
        <v>2</v>
      </c>
      <c r="H1674" s="196" t="s">
        <v>696</v>
      </c>
      <c r="I1674" s="196"/>
      <c r="J1674" s="196" t="s">
        <v>29</v>
      </c>
      <c r="K1674" s="196"/>
      <c r="L1674" s="196" t="str">
        <v xml:space="preserve"> 134.80</v>
      </c>
      <c r="M1674" s="196"/>
    </row>
    <row r="1675" spans="1:13" ht="14.4" x14ac:dyDescent="0.3">
      <c r="A1675" s="189" t="str">
        <f ca="1">IFERROR(__xludf.DUMMYFUNCTION("""COMPUTED_VALUE"""),"RH")</f>
        <v>RH</v>
      </c>
      <c r="B1675" s="195" t="str">
        <f ca="1">IFERROR(__xludf.DUMMYFUNCTION("""COMPUTED_VALUE"""),"Tommy Juster")</f>
        <v>Tommy Juster</v>
      </c>
      <c r="C1675" s="189">
        <f ca="1">IFERROR(__xludf.DUMMYFUNCTION("""COMPUTED_VALUE"""),17)</f>
        <v>17</v>
      </c>
      <c r="D1675" s="189" t="str">
        <f ca="1">IFERROR(__xludf.DUMMYFUNCTION("""COMPUTED_VALUE"""),"B")</f>
        <v>B</v>
      </c>
      <c r="E1675" s="189" t="str">
        <f ca="1">IFERROR(__xludf.DUMMYFUNCTION("""COMPUTED_VALUE"""),"S")</f>
        <v>S</v>
      </c>
      <c r="F1675" s="189" t="str">
        <f ca="1">IFERROR(__xludf.DUMMYFUNCTION("""COMPUTED_VALUE"""),"S")</f>
        <v>S</v>
      </c>
      <c r="G1675" s="189">
        <f ca="1">IFERROR(__xludf.DUMMYFUNCTION("""COMPUTED_VALUE"""),2)</f>
        <v>2</v>
      </c>
      <c r="H1675" s="196"/>
      <c r="I1675" s="196"/>
      <c r="J1675" s="196"/>
      <c r="K1675" s="196"/>
      <c r="L1675" s="196" t="str">
        <v/>
      </c>
      <c r="M1675" s="196"/>
    </row>
    <row r="1676" spans="1:13" ht="14.4" x14ac:dyDescent="0.3">
      <c r="A1676" s="189" t="str">
        <f ca="1">IFERROR(__xludf.DUMMYFUNCTION("""COMPUTED_VALUE"""),"S")</f>
        <v>S</v>
      </c>
      <c r="B1676" s="195" t="str">
        <f ca="1">IFERROR(__xludf.DUMMYFUNCTION("""COMPUTED_VALUE"""),"Abigail Menjivar")</f>
        <v>Abigail Menjivar</v>
      </c>
      <c r="C1676" s="189">
        <f ca="1">IFERROR(__xludf.DUMMYFUNCTION("""COMPUTED_VALUE"""),9)</f>
        <v>9</v>
      </c>
      <c r="D1676" s="189" t="str">
        <f ca="1">IFERROR(__xludf.DUMMYFUNCTION("""COMPUTED_VALUE"""),"G")</f>
        <v>G</v>
      </c>
      <c r="E1676" s="189" t="str">
        <f ca="1">IFERROR(__xludf.DUMMYFUNCTION("""COMPUTED_VALUE"""),"F")</f>
        <v>F</v>
      </c>
      <c r="F1676" s="189" t="str">
        <f ca="1">IFERROR(__xludf.DUMMYFUNCTION("""COMPUTED_VALUE"""),"J")</f>
        <v>J</v>
      </c>
      <c r="G1676" s="189">
        <f ca="1">IFERROR(__xludf.DUMMYFUNCTION("""COMPUTED_VALUE"""),7)</f>
        <v>7</v>
      </c>
      <c r="H1676" s="196"/>
      <c r="I1676" s="196"/>
      <c r="J1676" s="196"/>
      <c r="K1676" s="196"/>
      <c r="L1676" s="196" t="str">
        <v/>
      </c>
      <c r="M1676" s="196"/>
    </row>
    <row r="1677" spans="1:13" ht="14.4" x14ac:dyDescent="0.3">
      <c r="A1677" s="189" t="str">
        <f ca="1">IFERROR(__xludf.DUMMYFUNCTION("""COMPUTED_VALUE"""),"S")</f>
        <v>S</v>
      </c>
      <c r="B1677" s="195" t="str">
        <f ca="1">IFERROR(__xludf.DUMMYFUNCTION("""COMPUTED_VALUE"""),"Anh Trac")</f>
        <v>Anh Trac</v>
      </c>
      <c r="C1677" s="189">
        <f ca="1">IFERROR(__xludf.DUMMYFUNCTION("""COMPUTED_VALUE"""),8)</f>
        <v>8</v>
      </c>
      <c r="D1677" s="189" t="str">
        <f ca="1">IFERROR(__xludf.DUMMYFUNCTION("""COMPUTED_VALUE"""),"G")</f>
        <v>G</v>
      </c>
      <c r="E1677" s="189" t="str">
        <f ca="1">IFERROR(__xludf.DUMMYFUNCTION("""COMPUTED_VALUE"""),"F")</f>
        <v>F</v>
      </c>
      <c r="F1677" s="189" t="str">
        <f ca="1">IFERROR(__xludf.DUMMYFUNCTION("""COMPUTED_VALUE"""),"J")</f>
        <v>J</v>
      </c>
      <c r="G1677" s="189">
        <f ca="1">IFERROR(__xludf.DUMMYFUNCTION("""COMPUTED_VALUE"""),7)</f>
        <v>7</v>
      </c>
      <c r="H1677" s="196"/>
      <c r="I1677" s="196"/>
      <c r="J1677" s="196"/>
      <c r="K1677" s="196"/>
      <c r="L1677" s="196" t="str">
        <v/>
      </c>
      <c r="M1677" s="196"/>
    </row>
    <row r="1678" spans="1:13" ht="14.4" x14ac:dyDescent="0.3">
      <c r="A1678" s="189" t="str">
        <f ca="1">IFERROR(__xludf.DUMMYFUNCTION("""COMPUTED_VALUE"""),"S")</f>
        <v>S</v>
      </c>
      <c r="B1678" s="195" t="str">
        <f ca="1">IFERROR(__xludf.DUMMYFUNCTION("""COMPUTED_VALUE"""),"Anna Silver")</f>
        <v>Anna Silver</v>
      </c>
      <c r="C1678" s="189">
        <f ca="1">IFERROR(__xludf.DUMMYFUNCTION("""COMPUTED_VALUE"""),10)</f>
        <v>10</v>
      </c>
      <c r="D1678" s="189" t="str">
        <f ca="1">IFERROR(__xludf.DUMMYFUNCTION("""COMPUTED_VALUE"""),"G")</f>
        <v>G</v>
      </c>
      <c r="E1678" s="189" t="str">
        <f ca="1">IFERROR(__xludf.DUMMYFUNCTION("""COMPUTED_VALUE"""),"F")</f>
        <v>F</v>
      </c>
      <c r="F1678" s="189" t="str">
        <f ca="1">IFERROR(__xludf.DUMMYFUNCTION("""COMPUTED_VALUE"""),"J")</f>
        <v>J</v>
      </c>
      <c r="G1678" s="189">
        <f ca="1">IFERROR(__xludf.DUMMYFUNCTION("""COMPUTED_VALUE"""),7)</f>
        <v>7</v>
      </c>
      <c r="H1678" s="196"/>
      <c r="I1678" s="196"/>
      <c r="J1678" s="196"/>
      <c r="K1678" s="196"/>
      <c r="L1678" s="196" t="str">
        <v/>
      </c>
      <c r="M1678" s="196"/>
    </row>
    <row r="1679" spans="1:13" ht="14.4" x14ac:dyDescent="0.3">
      <c r="A1679" s="189" t="str">
        <f ca="1">IFERROR(__xludf.DUMMYFUNCTION("""COMPUTED_VALUE"""),"S")</f>
        <v>S</v>
      </c>
      <c r="B1679" s="195" t="str">
        <f ca="1">IFERROR(__xludf.DUMMYFUNCTION("""COMPUTED_VALUE"""),"Avery Wing")</f>
        <v>Avery Wing</v>
      </c>
      <c r="C1679" s="189">
        <f ca="1">IFERROR(__xludf.DUMMYFUNCTION("""COMPUTED_VALUE"""),6)</f>
        <v>6</v>
      </c>
      <c r="D1679" s="189" t="str">
        <f ca="1">IFERROR(__xludf.DUMMYFUNCTION("""COMPUTED_VALUE"""),"G")</f>
        <v>G</v>
      </c>
      <c r="E1679" s="189" t="str">
        <f ca="1">IFERROR(__xludf.DUMMYFUNCTION("""COMPUTED_VALUE"""),"F")</f>
        <v>F</v>
      </c>
      <c r="F1679" s="189" t="str">
        <f ca="1">IFERROR(__xludf.DUMMYFUNCTION("""COMPUTED_VALUE"""),"J")</f>
        <v>J</v>
      </c>
      <c r="G1679" s="189">
        <f ca="1">IFERROR(__xludf.DUMMYFUNCTION("""COMPUTED_VALUE"""),7)</f>
        <v>7</v>
      </c>
      <c r="H1679" s="196"/>
      <c r="I1679" s="196"/>
      <c r="J1679" s="196"/>
      <c r="K1679" s="196"/>
      <c r="L1679" s="196" t="str">
        <v/>
      </c>
      <c r="M1679" s="196"/>
    </row>
    <row r="1680" spans="1:13" ht="14.4" x14ac:dyDescent="0.3">
      <c r="A1680" s="189" t="str">
        <f ca="1">IFERROR(__xludf.DUMMYFUNCTION("""COMPUTED_VALUE"""),"S")</f>
        <v>S</v>
      </c>
      <c r="B1680" s="195" t="str">
        <f ca="1">IFERROR(__xludf.DUMMYFUNCTION("""COMPUTED_VALUE"""),"Blakely Thompson")</f>
        <v>Blakely Thompson</v>
      </c>
      <c r="C1680" s="189">
        <f ca="1">IFERROR(__xludf.DUMMYFUNCTION("""COMPUTED_VALUE"""),6)</f>
        <v>6</v>
      </c>
      <c r="D1680" s="189" t="str">
        <f ca="1">IFERROR(__xludf.DUMMYFUNCTION("""COMPUTED_VALUE"""),"G")</f>
        <v>G</v>
      </c>
      <c r="E1680" s="189" t="str">
        <f ca="1">IFERROR(__xludf.DUMMYFUNCTION("""COMPUTED_VALUE"""),"F")</f>
        <v>F</v>
      </c>
      <c r="F1680" s="189" t="str">
        <f ca="1">IFERROR(__xludf.DUMMYFUNCTION("""COMPUTED_VALUE"""),"J")</f>
        <v>J</v>
      </c>
      <c r="G1680" s="189">
        <f ca="1">IFERROR(__xludf.DUMMYFUNCTION("""COMPUTED_VALUE"""),7)</f>
        <v>7</v>
      </c>
      <c r="H1680" s="196"/>
      <c r="I1680" s="196"/>
      <c r="J1680" s="196"/>
      <c r="K1680" s="196"/>
      <c r="L1680" s="196" t="str">
        <v/>
      </c>
      <c r="M1680" s="196"/>
    </row>
    <row r="1681" spans="1:13" ht="14.4" x14ac:dyDescent="0.3">
      <c r="A1681" s="189" t="str">
        <f ca="1">IFERROR(__xludf.DUMMYFUNCTION("""COMPUTED_VALUE"""),"S")</f>
        <v>S</v>
      </c>
      <c r="B1681" s="195" t="str">
        <f ca="1">IFERROR(__xludf.DUMMYFUNCTION("""COMPUTED_VALUE"""),"CC Lorah")</f>
        <v>CC Lorah</v>
      </c>
      <c r="C1681" s="189">
        <f ca="1">IFERROR(__xludf.DUMMYFUNCTION("""COMPUTED_VALUE"""),7)</f>
        <v>7</v>
      </c>
      <c r="D1681" s="189" t="str">
        <f ca="1">IFERROR(__xludf.DUMMYFUNCTION("""COMPUTED_VALUE"""),"G")</f>
        <v>G</v>
      </c>
      <c r="E1681" s="189" t="str">
        <f ca="1">IFERROR(__xludf.DUMMYFUNCTION("""COMPUTED_VALUE"""),"F")</f>
        <v>F</v>
      </c>
      <c r="F1681" s="189" t="str">
        <f ca="1">IFERROR(__xludf.DUMMYFUNCTION("""COMPUTED_VALUE"""),"J")</f>
        <v>J</v>
      </c>
      <c r="G1681" s="189">
        <f ca="1">IFERROR(__xludf.DUMMYFUNCTION("""COMPUTED_VALUE"""),7)</f>
        <v>7</v>
      </c>
      <c r="H1681" s="196"/>
      <c r="I1681" s="196"/>
      <c r="J1681" s="196"/>
      <c r="K1681" s="196"/>
      <c r="L1681" s="196" t="str">
        <v/>
      </c>
      <c r="M1681" s="196"/>
    </row>
    <row r="1682" spans="1:13" ht="14.4" x14ac:dyDescent="0.3">
      <c r="A1682" s="189" t="str">
        <f ca="1">IFERROR(__xludf.DUMMYFUNCTION("""COMPUTED_VALUE"""),"S")</f>
        <v>S</v>
      </c>
      <c r="B1682" s="195" t="str">
        <f ca="1">IFERROR(__xludf.DUMMYFUNCTION("""COMPUTED_VALUE"""),"Charlie Cornet")</f>
        <v>Charlie Cornet</v>
      </c>
      <c r="C1682" s="189">
        <f ca="1">IFERROR(__xludf.DUMMYFUNCTION("""COMPUTED_VALUE"""),9)</f>
        <v>9</v>
      </c>
      <c r="D1682" s="189" t="str">
        <f ca="1">IFERROR(__xludf.DUMMYFUNCTION("""COMPUTED_VALUE"""),"G")</f>
        <v>G</v>
      </c>
      <c r="E1682" s="189" t="str">
        <f ca="1">IFERROR(__xludf.DUMMYFUNCTION("""COMPUTED_VALUE"""),"F")</f>
        <v>F</v>
      </c>
      <c r="F1682" s="189" t="str">
        <f ca="1">IFERROR(__xludf.DUMMYFUNCTION("""COMPUTED_VALUE"""),"J")</f>
        <v>J</v>
      </c>
      <c r="G1682" s="189">
        <f ca="1">IFERROR(__xludf.DUMMYFUNCTION("""COMPUTED_VALUE"""),7)</f>
        <v>7</v>
      </c>
      <c r="H1682" s="196"/>
      <c r="I1682" s="196"/>
      <c r="J1682" s="196"/>
      <c r="K1682" s="196"/>
      <c r="L1682" s="196" t="str">
        <v/>
      </c>
      <c r="M1682" s="196"/>
    </row>
    <row r="1683" spans="1:13" ht="14.4" x14ac:dyDescent="0.3">
      <c r="A1683" s="189" t="str">
        <f ca="1">IFERROR(__xludf.DUMMYFUNCTION("""COMPUTED_VALUE"""),"S")</f>
        <v>S</v>
      </c>
      <c r="B1683" s="195" t="str">
        <f ca="1">IFERROR(__xludf.DUMMYFUNCTION("""COMPUTED_VALUE"""),"Clara Martin")</f>
        <v>Clara Martin</v>
      </c>
      <c r="C1683" s="189">
        <f ca="1">IFERROR(__xludf.DUMMYFUNCTION("""COMPUTED_VALUE"""),8)</f>
        <v>8</v>
      </c>
      <c r="D1683" s="189" t="str">
        <f ca="1">IFERROR(__xludf.DUMMYFUNCTION("""COMPUTED_VALUE"""),"G")</f>
        <v>G</v>
      </c>
      <c r="E1683" s="189" t="str">
        <f ca="1">IFERROR(__xludf.DUMMYFUNCTION("""COMPUTED_VALUE"""),"F")</f>
        <v>F</v>
      </c>
      <c r="F1683" s="189" t="str">
        <f ca="1">IFERROR(__xludf.DUMMYFUNCTION("""COMPUTED_VALUE"""),"J")</f>
        <v>J</v>
      </c>
      <c r="G1683" s="189">
        <f ca="1">IFERROR(__xludf.DUMMYFUNCTION("""COMPUTED_VALUE"""),7)</f>
        <v>7</v>
      </c>
      <c r="H1683" s="196"/>
      <c r="I1683" s="196"/>
      <c r="J1683" s="196"/>
      <c r="K1683" s="196"/>
      <c r="L1683" s="196" t="str">
        <v/>
      </c>
      <c r="M1683" s="196"/>
    </row>
    <row r="1684" spans="1:13" ht="14.4" x14ac:dyDescent="0.3">
      <c r="A1684" s="189" t="str">
        <f ca="1">IFERROR(__xludf.DUMMYFUNCTION("""COMPUTED_VALUE"""),"S")</f>
        <v>S</v>
      </c>
      <c r="B1684" s="195" t="str">
        <f ca="1">IFERROR(__xludf.DUMMYFUNCTION("""COMPUTED_VALUE"""),"Ella Scharre")</f>
        <v>Ella Scharre</v>
      </c>
      <c r="C1684" s="189">
        <f ca="1">IFERROR(__xludf.DUMMYFUNCTION("""COMPUTED_VALUE"""),8)</f>
        <v>8</v>
      </c>
      <c r="D1684" s="189" t="str">
        <f ca="1">IFERROR(__xludf.DUMMYFUNCTION("""COMPUTED_VALUE"""),"G")</f>
        <v>G</v>
      </c>
      <c r="E1684" s="189" t="str">
        <f ca="1">IFERROR(__xludf.DUMMYFUNCTION("""COMPUTED_VALUE"""),"F")</f>
        <v>F</v>
      </c>
      <c r="F1684" s="189" t="str">
        <f ca="1">IFERROR(__xludf.DUMMYFUNCTION("""COMPUTED_VALUE"""),"J")</f>
        <v>J</v>
      </c>
      <c r="G1684" s="189">
        <f ca="1">IFERROR(__xludf.DUMMYFUNCTION("""COMPUTED_VALUE"""),7)</f>
        <v>7</v>
      </c>
      <c r="H1684" s="196"/>
      <c r="I1684" s="196"/>
      <c r="J1684" s="196"/>
      <c r="K1684" s="196"/>
      <c r="L1684" s="196" t="str">
        <v/>
      </c>
      <c r="M1684" s="196"/>
    </row>
    <row r="1685" spans="1:13" ht="14.4" x14ac:dyDescent="0.3">
      <c r="A1685" s="189" t="str">
        <f ca="1">IFERROR(__xludf.DUMMYFUNCTION("""COMPUTED_VALUE"""),"S")</f>
        <v>S</v>
      </c>
      <c r="B1685" s="195" t="str">
        <f ca="1">IFERROR(__xludf.DUMMYFUNCTION("""COMPUTED_VALUE"""),"Jules Hiner")</f>
        <v>Jules Hiner</v>
      </c>
      <c r="C1685" s="189">
        <f ca="1">IFERROR(__xludf.DUMMYFUNCTION("""COMPUTED_VALUE"""),6)</f>
        <v>6</v>
      </c>
      <c r="D1685" s="189" t="str">
        <f ca="1">IFERROR(__xludf.DUMMYFUNCTION("""COMPUTED_VALUE"""),"G")</f>
        <v>G</v>
      </c>
      <c r="E1685" s="189" t="str">
        <f ca="1">IFERROR(__xludf.DUMMYFUNCTION("""COMPUTED_VALUE"""),"F")</f>
        <v>F</v>
      </c>
      <c r="F1685" s="189" t="str">
        <f ca="1">IFERROR(__xludf.DUMMYFUNCTION("""COMPUTED_VALUE"""),"J")</f>
        <v>J</v>
      </c>
      <c r="G1685" s="189">
        <f ca="1">IFERROR(__xludf.DUMMYFUNCTION("""COMPUTED_VALUE"""),7)</f>
        <v>7</v>
      </c>
      <c r="H1685" s="196" t="s">
        <v>697</v>
      </c>
      <c r="I1685" s="196"/>
      <c r="J1685" s="196" t="s">
        <v>29</v>
      </c>
      <c r="K1685" s="196"/>
      <c r="L1685" s="196" t="str">
        <v xml:space="preserve"> 24.50</v>
      </c>
      <c r="M1685" s="196"/>
    </row>
    <row r="1686" spans="1:13" ht="14.4" x14ac:dyDescent="0.3">
      <c r="A1686" s="189" t="str">
        <f ca="1">IFERROR(__xludf.DUMMYFUNCTION("""COMPUTED_VALUE"""),"S")</f>
        <v>S</v>
      </c>
      <c r="B1686" s="195" t="str">
        <f ca="1">IFERROR(__xludf.DUMMYFUNCTION("""COMPUTED_VALUE"""),"Kennedy Lorah")</f>
        <v>Kennedy Lorah</v>
      </c>
      <c r="C1686" s="189">
        <f ca="1">IFERROR(__xludf.DUMMYFUNCTION("""COMPUTED_VALUE"""),7)</f>
        <v>7</v>
      </c>
      <c r="D1686" s="189" t="str">
        <f ca="1">IFERROR(__xludf.DUMMYFUNCTION("""COMPUTED_VALUE"""),"G")</f>
        <v>G</v>
      </c>
      <c r="E1686" s="189" t="str">
        <f ca="1">IFERROR(__xludf.DUMMYFUNCTION("""COMPUTED_VALUE"""),"F")</f>
        <v>F</v>
      </c>
      <c r="F1686" s="189" t="str">
        <f ca="1">IFERROR(__xludf.DUMMYFUNCTION("""COMPUTED_VALUE"""),"J")</f>
        <v>J</v>
      </c>
      <c r="G1686" s="189">
        <f ca="1">IFERROR(__xludf.DUMMYFUNCTION("""COMPUTED_VALUE"""),7)</f>
        <v>7</v>
      </c>
      <c r="H1686" s="196"/>
      <c r="I1686" s="196"/>
      <c r="J1686" s="196"/>
      <c r="K1686" s="196"/>
      <c r="L1686" s="196" t="str">
        <v/>
      </c>
      <c r="M1686" s="196"/>
    </row>
    <row r="1687" spans="1:13" ht="14.4" x14ac:dyDescent="0.3">
      <c r="A1687" s="189" t="str">
        <f ca="1">IFERROR(__xludf.DUMMYFUNCTION("""COMPUTED_VALUE"""),"S")</f>
        <v>S</v>
      </c>
      <c r="B1687" s="195" t="str">
        <f ca="1">IFERROR(__xludf.DUMMYFUNCTION("""COMPUTED_VALUE"""),"Maeve Cahill")</f>
        <v>Maeve Cahill</v>
      </c>
      <c r="C1687" s="189">
        <f ca="1">IFERROR(__xludf.DUMMYFUNCTION("""COMPUTED_VALUE"""),9)</f>
        <v>9</v>
      </c>
      <c r="D1687" s="189" t="str">
        <f ca="1">IFERROR(__xludf.DUMMYFUNCTION("""COMPUTED_VALUE"""),"G")</f>
        <v>G</v>
      </c>
      <c r="E1687" s="189" t="str">
        <f ca="1">IFERROR(__xludf.DUMMYFUNCTION("""COMPUTED_VALUE"""),"F")</f>
        <v>F</v>
      </c>
      <c r="F1687" s="189" t="str">
        <f ca="1">IFERROR(__xludf.DUMMYFUNCTION("""COMPUTED_VALUE"""),"J")</f>
        <v>J</v>
      </c>
      <c r="G1687" s="189">
        <f ca="1">IFERROR(__xludf.DUMMYFUNCTION("""COMPUTED_VALUE"""),7)</f>
        <v>7</v>
      </c>
      <c r="H1687" s="196" t="s">
        <v>196</v>
      </c>
      <c r="I1687" s="196"/>
      <c r="J1687" s="196" t="s">
        <v>29</v>
      </c>
      <c r="K1687" s="196"/>
      <c r="L1687" s="196" t="str">
        <v xml:space="preserve"> 52.00</v>
      </c>
      <c r="M1687" s="196"/>
    </row>
    <row r="1688" spans="1:13" ht="14.4" x14ac:dyDescent="0.3">
      <c r="A1688" s="189" t="str">
        <f ca="1">IFERROR(__xludf.DUMMYFUNCTION("""COMPUTED_VALUE"""),"S")</f>
        <v>S</v>
      </c>
      <c r="B1688" s="195" t="str">
        <f ca="1">IFERROR(__xludf.DUMMYFUNCTION("""COMPUTED_VALUE"""),"Penelope Ricaldes")</f>
        <v>Penelope Ricaldes</v>
      </c>
      <c r="C1688" s="189">
        <f ca="1">IFERROR(__xludf.DUMMYFUNCTION("""COMPUTED_VALUE"""),9)</f>
        <v>9</v>
      </c>
      <c r="D1688" s="189" t="str">
        <f ca="1">IFERROR(__xludf.DUMMYFUNCTION("""COMPUTED_VALUE"""),"G")</f>
        <v>G</v>
      </c>
      <c r="E1688" s="189" t="str">
        <f ca="1">IFERROR(__xludf.DUMMYFUNCTION("""COMPUTED_VALUE"""),"F")</f>
        <v>F</v>
      </c>
      <c r="F1688" s="189" t="str">
        <f ca="1">IFERROR(__xludf.DUMMYFUNCTION("""COMPUTED_VALUE"""),"J")</f>
        <v>J</v>
      </c>
      <c r="G1688" s="189">
        <f ca="1">IFERROR(__xludf.DUMMYFUNCTION("""COMPUTED_VALUE"""),7)</f>
        <v>7</v>
      </c>
      <c r="H1688" s="196" t="s">
        <v>698</v>
      </c>
      <c r="I1688" s="196"/>
      <c r="J1688" s="196" t="s">
        <v>29</v>
      </c>
      <c r="K1688" s="196"/>
      <c r="L1688" s="196" t="str">
        <v xml:space="preserve"> 35.60</v>
      </c>
      <c r="M1688" s="196"/>
    </row>
    <row r="1689" spans="1:13" ht="14.4" x14ac:dyDescent="0.3">
      <c r="A1689" s="189" t="str">
        <f ca="1">IFERROR(__xludf.DUMMYFUNCTION("""COMPUTED_VALUE"""),"S")</f>
        <v>S</v>
      </c>
      <c r="B1689" s="195" t="str">
        <f ca="1">IFERROR(__xludf.DUMMYFUNCTION("""COMPUTED_VALUE"""),"Rachel Wing")</f>
        <v>Rachel Wing</v>
      </c>
      <c r="C1689" s="189">
        <f ca="1">IFERROR(__xludf.DUMMYFUNCTION("""COMPUTED_VALUE"""),9)</f>
        <v>9</v>
      </c>
      <c r="D1689" s="189" t="str">
        <f ca="1">IFERROR(__xludf.DUMMYFUNCTION("""COMPUTED_VALUE"""),"G")</f>
        <v>G</v>
      </c>
      <c r="E1689" s="189" t="str">
        <f ca="1">IFERROR(__xludf.DUMMYFUNCTION("""COMPUTED_VALUE"""),"F")</f>
        <v>F</v>
      </c>
      <c r="F1689" s="189" t="str">
        <f ca="1">IFERROR(__xludf.DUMMYFUNCTION("""COMPUTED_VALUE"""),"J")</f>
        <v>J</v>
      </c>
      <c r="G1689" s="189">
        <f ca="1">IFERROR(__xludf.DUMMYFUNCTION("""COMPUTED_VALUE"""),7)</f>
        <v>7</v>
      </c>
      <c r="H1689" s="196"/>
      <c r="I1689" s="196"/>
      <c r="J1689" s="196"/>
      <c r="K1689" s="196"/>
      <c r="L1689" s="196" t="str">
        <v/>
      </c>
      <c r="M1689" s="196"/>
    </row>
    <row r="1690" spans="1:13" ht="14.4" x14ac:dyDescent="0.3">
      <c r="A1690" s="189" t="str">
        <f ca="1">IFERROR(__xludf.DUMMYFUNCTION("""COMPUTED_VALUE"""),"S")</f>
        <v>S</v>
      </c>
      <c r="B1690" s="195" t="str">
        <f ca="1">IFERROR(__xludf.DUMMYFUNCTION("""COMPUTED_VALUE"""),"Susannah Hill")</f>
        <v>Susannah Hill</v>
      </c>
      <c r="C1690" s="189">
        <f ca="1">IFERROR(__xludf.DUMMYFUNCTION("""COMPUTED_VALUE"""),8)</f>
        <v>8</v>
      </c>
      <c r="D1690" s="189" t="str">
        <f ca="1">IFERROR(__xludf.DUMMYFUNCTION("""COMPUTED_VALUE"""),"G")</f>
        <v>G</v>
      </c>
      <c r="E1690" s="189" t="str">
        <f ca="1">IFERROR(__xludf.DUMMYFUNCTION("""COMPUTED_VALUE"""),"F")</f>
        <v>F</v>
      </c>
      <c r="F1690" s="189" t="str">
        <f ca="1">IFERROR(__xludf.DUMMYFUNCTION("""COMPUTED_VALUE"""),"J")</f>
        <v>J</v>
      </c>
      <c r="G1690" s="189">
        <f ca="1">IFERROR(__xludf.DUMMYFUNCTION("""COMPUTED_VALUE"""),7)</f>
        <v>7</v>
      </c>
      <c r="H1690" s="196"/>
      <c r="I1690" s="196"/>
      <c r="J1690" s="196"/>
      <c r="K1690" s="196"/>
      <c r="L1690" s="196" t="str">
        <v/>
      </c>
      <c r="M1690" s="196"/>
    </row>
    <row r="1691" spans="1:13" ht="14.4" x14ac:dyDescent="0.3">
      <c r="A1691" s="189" t="str">
        <f ca="1">IFERROR(__xludf.DUMMYFUNCTION("""COMPUTED_VALUE"""),"S")</f>
        <v>S</v>
      </c>
      <c r="B1691" s="195" t="str">
        <f ca="1">IFERROR(__xludf.DUMMYFUNCTION("""COMPUTED_VALUE"""),"Fionn Cahill")</f>
        <v>Fionn Cahill</v>
      </c>
      <c r="C1691" s="189">
        <f ca="1">IFERROR(__xludf.DUMMYFUNCTION("""COMPUTED_VALUE"""),9)</f>
        <v>9</v>
      </c>
      <c r="D1691" s="189" t="str">
        <f ca="1">IFERROR(__xludf.DUMMYFUNCTION("""COMPUTED_VALUE"""),"B")</f>
        <v>B</v>
      </c>
      <c r="E1691" s="189" t="str">
        <f ca="1">IFERROR(__xludf.DUMMYFUNCTION("""COMPUTED_VALUE"""),"F")</f>
        <v>F</v>
      </c>
      <c r="F1691" s="189" t="str">
        <f ca="1">IFERROR(__xludf.DUMMYFUNCTION("""COMPUTED_VALUE"""),"J")</f>
        <v>J</v>
      </c>
      <c r="G1691" s="189">
        <f ca="1">IFERROR(__xludf.DUMMYFUNCTION("""COMPUTED_VALUE"""),7)</f>
        <v>7</v>
      </c>
      <c r="H1691" s="196" t="s">
        <v>699</v>
      </c>
      <c r="I1691" s="196"/>
      <c r="J1691" s="196" t="s">
        <v>29</v>
      </c>
      <c r="K1691" s="196"/>
      <c r="L1691" s="196" t="str">
        <v xml:space="preserve"> 57.85</v>
      </c>
      <c r="M1691" s="196"/>
    </row>
    <row r="1692" spans="1:13" ht="14.4" x14ac:dyDescent="0.3">
      <c r="A1692" s="189" t="str">
        <f ca="1">IFERROR(__xludf.DUMMYFUNCTION("""COMPUTED_VALUE"""),"S")</f>
        <v>S</v>
      </c>
      <c r="B1692" s="195" t="str">
        <f ca="1">IFERROR(__xludf.DUMMYFUNCTION("""COMPUTED_VALUE"""),"Jimmy Cameron")</f>
        <v>Jimmy Cameron</v>
      </c>
      <c r="C1692" s="189">
        <f ca="1">IFERROR(__xludf.DUMMYFUNCTION("""COMPUTED_VALUE"""),5)</f>
        <v>5</v>
      </c>
      <c r="D1692" s="189" t="str">
        <f ca="1">IFERROR(__xludf.DUMMYFUNCTION("""COMPUTED_VALUE"""),"B")</f>
        <v>B</v>
      </c>
      <c r="E1692" s="189" t="str">
        <f ca="1">IFERROR(__xludf.DUMMYFUNCTION("""COMPUTED_VALUE"""),"F")</f>
        <v>F</v>
      </c>
      <c r="F1692" s="189" t="str">
        <f ca="1">IFERROR(__xludf.DUMMYFUNCTION("""COMPUTED_VALUE"""),"J")</f>
        <v>J</v>
      </c>
      <c r="G1692" s="189">
        <f ca="1">IFERROR(__xludf.DUMMYFUNCTION("""COMPUTED_VALUE"""),7)</f>
        <v>7</v>
      </c>
      <c r="H1692" s="196"/>
      <c r="I1692" s="196"/>
      <c r="J1692" s="196"/>
      <c r="K1692" s="196"/>
      <c r="L1692" s="196" t="str">
        <v/>
      </c>
      <c r="M1692" s="196"/>
    </row>
    <row r="1693" spans="1:13" ht="14.4" x14ac:dyDescent="0.3">
      <c r="A1693" s="189" t="str">
        <f ca="1">IFERROR(__xludf.DUMMYFUNCTION("""COMPUTED_VALUE"""),"S")</f>
        <v>S</v>
      </c>
      <c r="B1693" s="195" t="str">
        <f ca="1">IFERROR(__xludf.DUMMYFUNCTION("""COMPUTED_VALUE"""),"Matthew Rempe")</f>
        <v>Matthew Rempe</v>
      </c>
      <c r="C1693" s="189">
        <f ca="1">IFERROR(__xludf.DUMMYFUNCTION("""COMPUTED_VALUE"""),10)</f>
        <v>10</v>
      </c>
      <c r="D1693" s="189" t="str">
        <f ca="1">IFERROR(__xludf.DUMMYFUNCTION("""COMPUTED_VALUE"""),"B")</f>
        <v>B</v>
      </c>
      <c r="E1693" s="189" t="str">
        <f ca="1">IFERROR(__xludf.DUMMYFUNCTION("""COMPUTED_VALUE"""),"F")</f>
        <v>F</v>
      </c>
      <c r="F1693" s="189" t="str">
        <f ca="1">IFERROR(__xludf.DUMMYFUNCTION("""COMPUTED_VALUE"""),"J")</f>
        <v>J</v>
      </c>
      <c r="G1693" s="189">
        <f ca="1">IFERROR(__xludf.DUMMYFUNCTION("""COMPUTED_VALUE"""),7)</f>
        <v>7</v>
      </c>
      <c r="H1693" s="196" t="s">
        <v>612</v>
      </c>
      <c r="I1693" s="196"/>
      <c r="J1693" s="196" t="s">
        <v>29</v>
      </c>
      <c r="K1693" s="196"/>
      <c r="L1693" s="196" t="str">
        <v xml:space="preserve"> 63.30</v>
      </c>
      <c r="M1693" s="196"/>
    </row>
    <row r="1694" spans="1:13" ht="14.4" x14ac:dyDescent="0.3">
      <c r="A1694" s="189" t="str">
        <f ca="1">IFERROR(__xludf.DUMMYFUNCTION("""COMPUTED_VALUE"""),"S")</f>
        <v>S</v>
      </c>
      <c r="B1694" s="195" t="str">
        <f ca="1">IFERROR(__xludf.DUMMYFUNCTION("""COMPUTED_VALUE"""),"Thomas Hiner")</f>
        <v>Thomas Hiner</v>
      </c>
      <c r="C1694" s="189">
        <f ca="1">IFERROR(__xludf.DUMMYFUNCTION("""COMPUTED_VALUE"""),9)</f>
        <v>9</v>
      </c>
      <c r="D1694" s="189" t="str">
        <f ca="1">IFERROR(__xludf.DUMMYFUNCTION("""COMPUTED_VALUE"""),"B")</f>
        <v>B</v>
      </c>
      <c r="E1694" s="189" t="str">
        <f ca="1">IFERROR(__xludf.DUMMYFUNCTION("""COMPUTED_VALUE"""),"F")</f>
        <v>F</v>
      </c>
      <c r="F1694" s="189" t="str">
        <f ca="1">IFERROR(__xludf.DUMMYFUNCTION("""COMPUTED_VALUE"""),"J")</f>
        <v>J</v>
      </c>
      <c r="G1694" s="189">
        <f ca="1">IFERROR(__xludf.DUMMYFUNCTION("""COMPUTED_VALUE"""),7)</f>
        <v>7</v>
      </c>
      <c r="H1694" s="196" t="s">
        <v>700</v>
      </c>
      <c r="I1694" s="196"/>
      <c r="J1694" s="196" t="s">
        <v>29</v>
      </c>
      <c r="K1694" s="196"/>
      <c r="L1694" s="196" t="str">
        <v xml:space="preserve"> 23.00</v>
      </c>
      <c r="M1694" s="196"/>
    </row>
    <row r="1695" spans="1:13" ht="14.4" x14ac:dyDescent="0.3">
      <c r="A1695" s="189" t="str">
        <f ca="1">IFERROR(__xludf.DUMMYFUNCTION("""COMPUTED_VALUE"""),"S")</f>
        <v>S</v>
      </c>
      <c r="B1695" s="195" t="str">
        <f ca="1">IFERROR(__xludf.DUMMYFUNCTION("""COMPUTED_VALUE"""),"Caedin Calhoun")</f>
        <v>Caedin Calhoun</v>
      </c>
      <c r="C1695" s="189">
        <f ca="1">IFERROR(__xludf.DUMMYFUNCTION("""COMPUTED_VALUE"""),13)</f>
        <v>13</v>
      </c>
      <c r="D1695" s="189" t="str">
        <f ca="1">IFERROR(__xludf.DUMMYFUNCTION("""COMPUTED_VALUE"""),"B")</f>
        <v>B</v>
      </c>
      <c r="E1695" s="189" t="str">
        <f ca="1">IFERROR(__xludf.DUMMYFUNCTION("""COMPUTED_VALUE"""),"I")</f>
        <v>I</v>
      </c>
      <c r="F1695" s="189" t="str">
        <f ca="1">IFERROR(__xludf.DUMMYFUNCTION("""COMPUTED_VALUE"""),"S")</f>
        <v>S</v>
      </c>
      <c r="G1695" s="189">
        <f ca="1">IFERROR(__xludf.DUMMYFUNCTION("""COMPUTED_VALUE"""),7)</f>
        <v>7</v>
      </c>
      <c r="H1695" s="196" t="s">
        <v>701</v>
      </c>
      <c r="I1695" s="196"/>
      <c r="J1695" s="196" t="s">
        <v>29</v>
      </c>
      <c r="K1695" s="196"/>
      <c r="L1695" s="196" t="str">
        <v xml:space="preserve"> 122.00</v>
      </c>
      <c r="M1695" s="196"/>
    </row>
    <row r="1696" spans="1:13" ht="14.4" x14ac:dyDescent="0.3">
      <c r="A1696" s="189" t="str">
        <f ca="1">IFERROR(__xludf.DUMMYFUNCTION("""COMPUTED_VALUE"""),"S")</f>
        <v>S</v>
      </c>
      <c r="B1696" s="195" t="str">
        <f ca="1">IFERROR(__xludf.DUMMYFUNCTION("""COMPUTED_VALUE"""),"Cristiano Garcia")</f>
        <v>Cristiano Garcia</v>
      </c>
      <c r="C1696" s="189">
        <f ca="1">IFERROR(__xludf.DUMMYFUNCTION("""COMPUTED_VALUE"""),13)</f>
        <v>13</v>
      </c>
      <c r="D1696" s="189" t="str">
        <f ca="1">IFERROR(__xludf.DUMMYFUNCTION("""COMPUTED_VALUE"""),"B")</f>
        <v>B</v>
      </c>
      <c r="E1696" s="189" t="str">
        <f ca="1">IFERROR(__xludf.DUMMYFUNCTION("""COMPUTED_VALUE"""),"I")</f>
        <v>I</v>
      </c>
      <c r="F1696" s="189" t="str">
        <f ca="1">IFERROR(__xludf.DUMMYFUNCTION("""COMPUTED_VALUE"""),"S")</f>
        <v>S</v>
      </c>
      <c r="G1696" s="189">
        <f ca="1">IFERROR(__xludf.DUMMYFUNCTION("""COMPUTED_VALUE"""),7)</f>
        <v>7</v>
      </c>
      <c r="H1696" s="196" t="s">
        <v>702</v>
      </c>
      <c r="I1696" s="196"/>
      <c r="J1696" s="196" t="s">
        <v>64</v>
      </c>
      <c r="K1696" s="196"/>
      <c r="L1696" s="196" t="str">
        <v xml:space="preserve"> -256.20</v>
      </c>
      <c r="M1696" s="196"/>
    </row>
    <row r="1697" spans="1:13" ht="14.4" x14ac:dyDescent="0.3">
      <c r="A1697" s="189" t="str">
        <f ca="1">IFERROR(__xludf.DUMMYFUNCTION("""COMPUTED_VALUE"""),"S")</f>
        <v>S</v>
      </c>
      <c r="B1697" s="195" t="str">
        <f ca="1">IFERROR(__xludf.DUMMYFUNCTION("""COMPUTED_VALUE"""),"Belle Amatuzzi")</f>
        <v>Belle Amatuzzi</v>
      </c>
      <c r="C1697" s="189">
        <f ca="1">IFERROR(__xludf.DUMMYFUNCTION("""COMPUTED_VALUE"""),11)</f>
        <v>11</v>
      </c>
      <c r="D1697" s="189" t="str">
        <f ca="1">IFERROR(__xludf.DUMMYFUNCTION("""COMPUTED_VALUE"""),"G")</f>
        <v>G</v>
      </c>
      <c r="E1697" s="189" t="str">
        <f ca="1">IFERROR(__xludf.DUMMYFUNCTION("""COMPUTED_VALUE"""),"J")</f>
        <v>J</v>
      </c>
      <c r="F1697" s="189" t="str">
        <f ca="1">IFERROR(__xludf.DUMMYFUNCTION("""COMPUTED_VALUE"""),"I")</f>
        <v>I</v>
      </c>
      <c r="G1697" s="189">
        <f ca="1">IFERROR(__xludf.DUMMYFUNCTION("""COMPUTED_VALUE"""),7)</f>
        <v>7</v>
      </c>
      <c r="H1697" s="196" t="s">
        <v>703</v>
      </c>
      <c r="I1697" s="196"/>
      <c r="J1697" s="196" t="s">
        <v>29</v>
      </c>
      <c r="K1697" s="196"/>
      <c r="L1697" s="196" t="str">
        <v xml:space="preserve"> 85.30</v>
      </c>
      <c r="M1697" s="196"/>
    </row>
    <row r="1698" spans="1:13" ht="14.4" x14ac:dyDescent="0.3">
      <c r="A1698" s="189" t="str">
        <f ca="1">IFERROR(__xludf.DUMMYFUNCTION("""COMPUTED_VALUE"""),"S")</f>
        <v>S</v>
      </c>
      <c r="B1698" s="195" t="str">
        <f ca="1">IFERROR(__xludf.DUMMYFUNCTION("""COMPUTED_VALUE"""),"Brigid Cahill")</f>
        <v>Brigid Cahill</v>
      </c>
      <c r="C1698" s="189">
        <f ca="1">IFERROR(__xludf.DUMMYFUNCTION("""COMPUTED_VALUE"""),11)</f>
        <v>11</v>
      </c>
      <c r="D1698" s="189" t="str">
        <f ca="1">IFERROR(__xludf.DUMMYFUNCTION("""COMPUTED_VALUE"""),"G")</f>
        <v>G</v>
      </c>
      <c r="E1698" s="189" t="str">
        <f ca="1">IFERROR(__xludf.DUMMYFUNCTION("""COMPUTED_VALUE"""),"J")</f>
        <v>J</v>
      </c>
      <c r="F1698" s="189" t="str">
        <f ca="1">IFERROR(__xludf.DUMMYFUNCTION("""COMPUTED_VALUE"""),"I")</f>
        <v>I</v>
      </c>
      <c r="G1698" s="189">
        <f ca="1">IFERROR(__xludf.DUMMYFUNCTION("""COMPUTED_VALUE"""),7)</f>
        <v>7</v>
      </c>
      <c r="H1698" s="196" t="s">
        <v>704</v>
      </c>
      <c r="I1698" s="196"/>
      <c r="J1698" s="196" t="s">
        <v>29</v>
      </c>
      <c r="K1698" s="196"/>
      <c r="L1698" s="196" t="str">
        <v xml:space="preserve"> 90.20</v>
      </c>
      <c r="M1698" s="196"/>
    </row>
    <row r="1699" spans="1:13" ht="14.4" x14ac:dyDescent="0.3">
      <c r="A1699" s="189" t="str">
        <f ca="1">IFERROR(__xludf.DUMMYFUNCTION("""COMPUTED_VALUE"""),"S")</f>
        <v>S</v>
      </c>
      <c r="B1699" s="195" t="str">
        <f ca="1">IFERROR(__xludf.DUMMYFUNCTION("""COMPUTED_VALUE"""),"Mila Garcia")</f>
        <v>Mila Garcia</v>
      </c>
      <c r="C1699" s="189">
        <f ca="1">IFERROR(__xludf.DUMMYFUNCTION("""COMPUTED_VALUE"""),11)</f>
        <v>11</v>
      </c>
      <c r="D1699" s="189" t="str">
        <f ca="1">IFERROR(__xludf.DUMMYFUNCTION("""COMPUTED_VALUE"""),"G")</f>
        <v>G</v>
      </c>
      <c r="E1699" s="189" t="str">
        <f ca="1">IFERROR(__xludf.DUMMYFUNCTION("""COMPUTED_VALUE"""),"J")</f>
        <v>J</v>
      </c>
      <c r="F1699" s="189" t="str">
        <f ca="1">IFERROR(__xludf.DUMMYFUNCTION("""COMPUTED_VALUE"""),"I")</f>
        <v>I</v>
      </c>
      <c r="G1699" s="189">
        <f ca="1">IFERROR(__xludf.DUMMYFUNCTION("""COMPUTED_VALUE"""),7)</f>
        <v>7</v>
      </c>
      <c r="H1699" s="196"/>
      <c r="I1699" s="196"/>
      <c r="J1699" s="196"/>
      <c r="K1699" s="196"/>
      <c r="L1699" s="196" t="str">
        <v/>
      </c>
      <c r="M1699" s="196"/>
    </row>
    <row r="1700" spans="1:13" ht="14.4" x14ac:dyDescent="0.3">
      <c r="A1700" s="189" t="str">
        <f ca="1">IFERROR(__xludf.DUMMYFUNCTION("""COMPUTED_VALUE"""),"S")</f>
        <v>S</v>
      </c>
      <c r="B1700" s="195" t="str">
        <f ca="1">IFERROR(__xludf.DUMMYFUNCTION("""COMPUTED_VALUE"""),"Davey Scharre")</f>
        <v>Davey Scharre</v>
      </c>
      <c r="C1700" s="189">
        <f ca="1">IFERROR(__xludf.DUMMYFUNCTION("""COMPUTED_VALUE"""),11)</f>
        <v>11</v>
      </c>
      <c r="D1700" s="189" t="str">
        <f ca="1">IFERROR(__xludf.DUMMYFUNCTION("""COMPUTED_VALUE"""),"B")</f>
        <v>B</v>
      </c>
      <c r="E1700" s="189" t="str">
        <f ca="1">IFERROR(__xludf.DUMMYFUNCTION("""COMPUTED_VALUE"""),"J")</f>
        <v>J</v>
      </c>
      <c r="F1700" s="189" t="str">
        <f ca="1">IFERROR(__xludf.DUMMYFUNCTION("""COMPUTED_VALUE"""),"I")</f>
        <v>I</v>
      </c>
      <c r="G1700" s="189">
        <f ca="1">IFERROR(__xludf.DUMMYFUNCTION("""COMPUTED_VALUE"""),7)</f>
        <v>7</v>
      </c>
      <c r="H1700" s="196" t="s">
        <v>705</v>
      </c>
      <c r="I1700" s="196"/>
      <c r="J1700" s="196" t="s">
        <v>29</v>
      </c>
      <c r="K1700" s="196"/>
      <c r="L1700" s="196" t="str">
        <v xml:space="preserve"> 83.15</v>
      </c>
      <c r="M1700" s="196"/>
    </row>
    <row r="1701" spans="1:13" ht="14.4" x14ac:dyDescent="0.3">
      <c r="A1701" s="189" t="str">
        <f ca="1">IFERROR(__xludf.DUMMYFUNCTION("""COMPUTED_VALUE"""),"S")</f>
        <v>S</v>
      </c>
      <c r="B1701" s="195" t="str">
        <f ca="1">IFERROR(__xludf.DUMMYFUNCTION("""COMPUTED_VALUE"""),"Henry Martin")</f>
        <v>Henry Martin</v>
      </c>
      <c r="C1701" s="189">
        <f ca="1">IFERROR(__xludf.DUMMYFUNCTION("""COMPUTED_VALUE"""),11)</f>
        <v>11</v>
      </c>
      <c r="D1701" s="189" t="str">
        <f ca="1">IFERROR(__xludf.DUMMYFUNCTION("""COMPUTED_VALUE"""),"B")</f>
        <v>B</v>
      </c>
      <c r="E1701" s="189" t="str">
        <f ca="1">IFERROR(__xludf.DUMMYFUNCTION("""COMPUTED_VALUE"""),"J")</f>
        <v>J</v>
      </c>
      <c r="F1701" s="189" t="str">
        <f ca="1">IFERROR(__xludf.DUMMYFUNCTION("""COMPUTED_VALUE"""),"I")</f>
        <v>I</v>
      </c>
      <c r="G1701" s="189">
        <f ca="1">IFERROR(__xludf.DUMMYFUNCTION("""COMPUTED_VALUE"""),7)</f>
        <v>7</v>
      </c>
      <c r="H1701" s="196" t="s">
        <v>706</v>
      </c>
      <c r="I1701" s="196"/>
      <c r="J1701" s="196" t="s">
        <v>64</v>
      </c>
      <c r="K1701" s="196"/>
      <c r="L1701" s="196" t="str">
        <v xml:space="preserve"> -153.95</v>
      </c>
      <c r="M1701" s="196"/>
    </row>
    <row r="1702" spans="1:13" ht="14.4" x14ac:dyDescent="0.3">
      <c r="A1702" s="189" t="str">
        <f ca="1">IFERROR(__xludf.DUMMYFUNCTION("""COMPUTED_VALUE"""),"S")</f>
        <v>S</v>
      </c>
      <c r="B1702" s="195" t="str">
        <f ca="1">IFERROR(__xludf.DUMMYFUNCTION("""COMPUTED_VALUE"""),"Liam Cahill")</f>
        <v>Liam Cahill</v>
      </c>
      <c r="C1702" s="189">
        <f ca="1">IFERROR(__xludf.DUMMYFUNCTION("""COMPUTED_VALUE"""),11)</f>
        <v>11</v>
      </c>
      <c r="D1702" s="189" t="str">
        <f ca="1">IFERROR(__xludf.DUMMYFUNCTION("""COMPUTED_VALUE"""),"B")</f>
        <v>B</v>
      </c>
      <c r="E1702" s="189" t="str">
        <f ca="1">IFERROR(__xludf.DUMMYFUNCTION("""COMPUTED_VALUE"""),"J")</f>
        <v>J</v>
      </c>
      <c r="F1702" s="189" t="str">
        <f ca="1">IFERROR(__xludf.DUMMYFUNCTION("""COMPUTED_VALUE"""),"I")</f>
        <v>I</v>
      </c>
      <c r="G1702" s="189">
        <f ca="1">IFERROR(__xludf.DUMMYFUNCTION("""COMPUTED_VALUE"""),7)</f>
        <v>7</v>
      </c>
      <c r="H1702" s="196" t="s">
        <v>707</v>
      </c>
      <c r="I1702" s="196"/>
      <c r="J1702" s="196" t="s">
        <v>29</v>
      </c>
      <c r="K1702" s="196"/>
      <c r="L1702" s="196" t="str">
        <v xml:space="preserve"> 79.60</v>
      </c>
      <c r="M1702" s="196"/>
    </row>
    <row r="1703" spans="1:13" ht="14.4" x14ac:dyDescent="0.3">
      <c r="A1703" s="189" t="str">
        <f ca="1">IFERROR(__xludf.DUMMYFUNCTION("""COMPUTED_VALUE"""),"S")</f>
        <v>S</v>
      </c>
      <c r="B1703" s="195" t="str">
        <f ca="1">IFERROR(__xludf.DUMMYFUNCTION("""COMPUTED_VALUE"""),"Samuel Rempe")</f>
        <v>Samuel Rempe</v>
      </c>
      <c r="C1703" s="189">
        <f ca="1">IFERROR(__xludf.DUMMYFUNCTION("""COMPUTED_VALUE"""),11)</f>
        <v>11</v>
      </c>
      <c r="D1703" s="189" t="str">
        <f ca="1">IFERROR(__xludf.DUMMYFUNCTION("""COMPUTED_VALUE"""),"B")</f>
        <v>B</v>
      </c>
      <c r="E1703" s="189" t="str">
        <f ca="1">IFERROR(__xludf.DUMMYFUNCTION("""COMPUTED_VALUE"""),"J")</f>
        <v>J</v>
      </c>
      <c r="F1703" s="189" t="str">
        <f ca="1">IFERROR(__xludf.DUMMYFUNCTION("""COMPUTED_VALUE"""),"I")</f>
        <v>I</v>
      </c>
      <c r="G1703" s="189">
        <f ca="1">IFERROR(__xludf.DUMMYFUNCTION("""COMPUTED_VALUE"""),7)</f>
        <v>7</v>
      </c>
      <c r="H1703" s="196" t="s">
        <v>215</v>
      </c>
      <c r="I1703" s="196"/>
      <c r="J1703" s="196" t="s">
        <v>29</v>
      </c>
      <c r="K1703" s="196"/>
      <c r="L1703" s="196" t="str">
        <v xml:space="preserve"> 73.70</v>
      </c>
      <c r="M1703" s="196"/>
    </row>
    <row r="1704" spans="1:13" ht="14.4" x14ac:dyDescent="0.3">
      <c r="A1704" s="189" t="str">
        <f ca="1">IFERROR(__xludf.DUMMYFUNCTION("""COMPUTED_VALUE"""),"S")</f>
        <v>S</v>
      </c>
      <c r="B1704" s="195" t="str">
        <f ca="1">IFERROR(__xludf.DUMMYFUNCTION("""COMPUTED_VALUE"""),"Addy Vandenbemden")</f>
        <v>Addy Vandenbemden</v>
      </c>
      <c r="C1704" s="189">
        <f ca="1">IFERROR(__xludf.DUMMYFUNCTION("""COMPUTED_VALUE"""),15)</f>
        <v>15</v>
      </c>
      <c r="D1704" s="189" t="str">
        <f ca="1">IFERROR(__xludf.DUMMYFUNCTION("""COMPUTED_VALUE"""),"G")</f>
        <v>G</v>
      </c>
      <c r="E1704" s="189" t="str">
        <f ca="1">IFERROR(__xludf.DUMMYFUNCTION("""COMPUTED_VALUE"""),"S")</f>
        <v>S</v>
      </c>
      <c r="F1704" s="189" t="str">
        <f ca="1">IFERROR(__xludf.DUMMYFUNCTION("""COMPUTED_VALUE"""),"S")</f>
        <v>S</v>
      </c>
      <c r="G1704" s="189">
        <f ca="1">IFERROR(__xludf.DUMMYFUNCTION("""COMPUTED_VALUE"""),7)</f>
        <v>7</v>
      </c>
      <c r="H1704" s="196" t="s">
        <v>708</v>
      </c>
      <c r="I1704" s="196"/>
      <c r="J1704" s="196" t="s">
        <v>29</v>
      </c>
      <c r="K1704" s="196"/>
      <c r="L1704" s="196" t="str">
        <v xml:space="preserve"> 133.35</v>
      </c>
      <c r="M1704" s="196"/>
    </row>
    <row r="1705" spans="1:13" ht="14.4" x14ac:dyDescent="0.3">
      <c r="A1705" s="189" t="str">
        <f ca="1">IFERROR(__xludf.DUMMYFUNCTION("""COMPUTED_VALUE"""),"S")</f>
        <v>S</v>
      </c>
      <c r="B1705" s="195" t="str">
        <f ca="1">IFERROR(__xludf.DUMMYFUNCTION("""COMPUTED_VALUE"""),"Grace Partain")</f>
        <v>Grace Partain</v>
      </c>
      <c r="C1705" s="189">
        <f ca="1">IFERROR(__xludf.DUMMYFUNCTION("""COMPUTED_VALUE"""),18)</f>
        <v>18</v>
      </c>
      <c r="D1705" s="189" t="str">
        <f ca="1">IFERROR(__xludf.DUMMYFUNCTION("""COMPUTED_VALUE"""),"G")</f>
        <v>G</v>
      </c>
      <c r="E1705" s="189" t="str">
        <f ca="1">IFERROR(__xludf.DUMMYFUNCTION("""COMPUTED_VALUE"""),"S")</f>
        <v>S</v>
      </c>
      <c r="F1705" s="189" t="str">
        <f ca="1">IFERROR(__xludf.DUMMYFUNCTION("""COMPUTED_VALUE"""),"S")</f>
        <v>S</v>
      </c>
      <c r="G1705" s="189">
        <f ca="1">IFERROR(__xludf.DUMMYFUNCTION("""COMPUTED_VALUE"""),7)</f>
        <v>7</v>
      </c>
      <c r="H1705" s="196" t="s">
        <v>709</v>
      </c>
      <c r="I1705" s="196"/>
      <c r="J1705" s="196" t="s">
        <v>29</v>
      </c>
      <c r="K1705" s="196"/>
      <c r="L1705" s="196" t="str">
        <v xml:space="preserve"> 158.95</v>
      </c>
      <c r="M1705" s="196"/>
    </row>
    <row r="1706" spans="1:13" ht="14.4" x14ac:dyDescent="0.3">
      <c r="A1706" s="189" t="str">
        <f ca="1">IFERROR(__xludf.DUMMYFUNCTION("""COMPUTED_VALUE"""),"S")</f>
        <v>S</v>
      </c>
      <c r="B1706" s="195" t="str">
        <f ca="1">IFERROR(__xludf.DUMMYFUNCTION("""COMPUTED_VALUE"""),"Molka Hammouda")</f>
        <v>Molka Hammouda</v>
      </c>
      <c r="C1706" s="189">
        <f ca="1">IFERROR(__xludf.DUMMYFUNCTION("""COMPUTED_VALUE"""),17)</f>
        <v>17</v>
      </c>
      <c r="D1706" s="189" t="str">
        <f ca="1">IFERROR(__xludf.DUMMYFUNCTION("""COMPUTED_VALUE"""),"G")</f>
        <v>G</v>
      </c>
      <c r="E1706" s="189" t="str">
        <f ca="1">IFERROR(__xludf.DUMMYFUNCTION("""COMPUTED_VALUE"""),"S")</f>
        <v>S</v>
      </c>
      <c r="F1706" s="189" t="str">
        <f ca="1">IFERROR(__xludf.DUMMYFUNCTION("""COMPUTED_VALUE"""),"S")</f>
        <v>S</v>
      </c>
      <c r="G1706" s="189">
        <f ca="1">IFERROR(__xludf.DUMMYFUNCTION("""COMPUTED_VALUE"""),7)</f>
        <v>7</v>
      </c>
      <c r="H1706" s="196"/>
      <c r="I1706" s="196"/>
      <c r="J1706" s="196"/>
      <c r="K1706" s="196"/>
      <c r="L1706" s="196" t="str">
        <v/>
      </c>
      <c r="M1706" s="196"/>
    </row>
    <row r="1707" spans="1:13" ht="14.4" x14ac:dyDescent="0.3">
      <c r="A1707" s="189" t="str">
        <f ca="1">IFERROR(__xludf.DUMMYFUNCTION("""COMPUTED_VALUE"""),"S")</f>
        <v>S</v>
      </c>
      <c r="B1707" s="195" t="str">
        <f ca="1">IFERROR(__xludf.DUMMYFUNCTION("""COMPUTED_VALUE"""),"Rylea Vandenbemden")</f>
        <v>Rylea Vandenbemden</v>
      </c>
      <c r="C1707" s="189">
        <f ca="1">IFERROR(__xludf.DUMMYFUNCTION("""COMPUTED_VALUE"""),15)</f>
        <v>15</v>
      </c>
      <c r="D1707" s="189" t="str">
        <f ca="1">IFERROR(__xludf.DUMMYFUNCTION("""COMPUTED_VALUE"""),"G")</f>
        <v>G</v>
      </c>
      <c r="E1707" s="189" t="str">
        <f ca="1">IFERROR(__xludf.DUMMYFUNCTION("""COMPUTED_VALUE"""),"S")</f>
        <v>S</v>
      </c>
      <c r="F1707" s="189" t="str">
        <f ca="1">IFERROR(__xludf.DUMMYFUNCTION("""COMPUTED_VALUE"""),"S")</f>
        <v>S</v>
      </c>
      <c r="G1707" s="189">
        <f ca="1">IFERROR(__xludf.DUMMYFUNCTION("""COMPUTED_VALUE"""),7)</f>
        <v>7</v>
      </c>
      <c r="H1707" s="196" t="s">
        <v>710</v>
      </c>
      <c r="I1707" s="196"/>
      <c r="J1707" s="196" t="s">
        <v>29</v>
      </c>
      <c r="K1707" s="196"/>
      <c r="L1707" s="196" t="str">
        <v xml:space="preserve"> 152.95</v>
      </c>
      <c r="M1707" s="196"/>
    </row>
    <row r="1708" spans="1:13" ht="14.4" x14ac:dyDescent="0.3">
      <c r="A1708" s="189" t="str">
        <f ca="1">IFERROR(__xludf.DUMMYFUNCTION("""COMPUTED_VALUE"""),"S")</f>
        <v>S</v>
      </c>
      <c r="B1708" s="195" t="str">
        <f ca="1">IFERROR(__xludf.DUMMYFUNCTION("""COMPUTED_VALUE"""),"Tien Do")</f>
        <v>Tien Do</v>
      </c>
      <c r="C1708" s="189">
        <f ca="1">IFERROR(__xludf.DUMMYFUNCTION("""COMPUTED_VALUE"""),16)</f>
        <v>16</v>
      </c>
      <c r="D1708" s="189" t="str">
        <f ca="1">IFERROR(__xludf.DUMMYFUNCTION("""COMPUTED_VALUE"""),"G")</f>
        <v>G</v>
      </c>
      <c r="E1708" s="189" t="str">
        <f ca="1">IFERROR(__xludf.DUMMYFUNCTION("""COMPUTED_VALUE"""),"S")</f>
        <v>S</v>
      </c>
      <c r="F1708" s="189" t="str">
        <f ca="1">IFERROR(__xludf.DUMMYFUNCTION("""COMPUTED_VALUE"""),"S")</f>
        <v>S</v>
      </c>
      <c r="G1708" s="189">
        <f ca="1">IFERROR(__xludf.DUMMYFUNCTION("""COMPUTED_VALUE"""),7)</f>
        <v>7</v>
      </c>
      <c r="H1708" s="196" t="s">
        <v>303</v>
      </c>
      <c r="I1708" s="196"/>
      <c r="J1708" s="196" t="s">
        <v>29</v>
      </c>
      <c r="K1708" s="196"/>
      <c r="L1708" s="196" t="str">
        <v xml:space="preserve"> DQ</v>
      </c>
      <c r="M1708" s="196"/>
    </row>
    <row r="1709" spans="1:13" ht="14.4" x14ac:dyDescent="0.3">
      <c r="A1709" s="189" t="str">
        <f ca="1">IFERROR(__xludf.DUMMYFUNCTION("""COMPUTED_VALUE"""),"SB")</f>
        <v>SB</v>
      </c>
      <c r="B1709" s="195" t="str">
        <f ca="1">IFERROR(__xludf.DUMMYFUNCTION("""COMPUTED_VALUE"""),"Anna Hunt")</f>
        <v>Anna Hunt</v>
      </c>
      <c r="C1709" s="189">
        <f ca="1">IFERROR(__xludf.DUMMYFUNCTION("""COMPUTED_VALUE"""),8)</f>
        <v>8</v>
      </c>
      <c r="D1709" s="189" t="str">
        <f ca="1">IFERROR(__xludf.DUMMYFUNCTION("""COMPUTED_VALUE"""),"G")</f>
        <v>G</v>
      </c>
      <c r="E1709" s="189" t="str">
        <f ca="1">IFERROR(__xludf.DUMMYFUNCTION("""COMPUTED_VALUE"""),"F")</f>
        <v>F</v>
      </c>
      <c r="F1709" s="189" t="str">
        <f ca="1">IFERROR(__xludf.DUMMYFUNCTION("""COMPUTED_VALUE"""),"J")</f>
        <v>J</v>
      </c>
      <c r="G1709" s="189">
        <f ca="1">IFERROR(__xludf.DUMMYFUNCTION("""COMPUTED_VALUE"""),8)</f>
        <v>8</v>
      </c>
      <c r="H1709" s="196"/>
      <c r="I1709" s="196"/>
      <c r="J1709" s="196"/>
      <c r="K1709" s="196"/>
      <c r="L1709" s="196" t="str">
        <v/>
      </c>
      <c r="M1709" s="196"/>
    </row>
    <row r="1710" spans="1:13" ht="14.4" x14ac:dyDescent="0.3">
      <c r="A1710" s="189" t="str">
        <f ca="1">IFERROR(__xludf.DUMMYFUNCTION("""COMPUTED_VALUE"""),"SB")</f>
        <v>SB</v>
      </c>
      <c r="B1710" s="195" t="str">
        <f ca="1">IFERROR(__xludf.DUMMYFUNCTION("""COMPUTED_VALUE"""),"Bree Doss")</f>
        <v>Bree Doss</v>
      </c>
      <c r="C1710" s="189">
        <f ca="1">IFERROR(__xludf.DUMMYFUNCTION("""COMPUTED_VALUE"""),10)</f>
        <v>10</v>
      </c>
      <c r="D1710" s="189" t="str">
        <f ca="1">IFERROR(__xludf.DUMMYFUNCTION("""COMPUTED_VALUE"""),"G")</f>
        <v>G</v>
      </c>
      <c r="E1710" s="189" t="str">
        <f ca="1">IFERROR(__xludf.DUMMYFUNCTION("""COMPUTED_VALUE"""),"F")</f>
        <v>F</v>
      </c>
      <c r="F1710" s="189" t="str">
        <f ca="1">IFERROR(__xludf.DUMMYFUNCTION("""COMPUTED_VALUE"""),"J")</f>
        <v>J</v>
      </c>
      <c r="G1710" s="189">
        <f ca="1">IFERROR(__xludf.DUMMYFUNCTION("""COMPUTED_VALUE"""),8)</f>
        <v>8</v>
      </c>
      <c r="H1710" s="196"/>
      <c r="I1710" s="196"/>
      <c r="J1710" s="196"/>
      <c r="K1710" s="196"/>
      <c r="L1710" s="196" t="str">
        <v/>
      </c>
      <c r="M1710" s="196"/>
    </row>
    <row r="1711" spans="1:13" ht="14.4" x14ac:dyDescent="0.3">
      <c r="A1711" s="189" t="str">
        <f ca="1">IFERROR(__xludf.DUMMYFUNCTION("""COMPUTED_VALUE"""),"SB")</f>
        <v>SB</v>
      </c>
      <c r="B1711" s="195" t="str">
        <f ca="1">IFERROR(__xludf.DUMMYFUNCTION("""COMPUTED_VALUE"""),"Caelyn Kramer")</f>
        <v>Caelyn Kramer</v>
      </c>
      <c r="C1711" s="189">
        <f ca="1">IFERROR(__xludf.DUMMYFUNCTION("""COMPUTED_VALUE"""),10)</f>
        <v>10</v>
      </c>
      <c r="D1711" s="189" t="str">
        <f ca="1">IFERROR(__xludf.DUMMYFUNCTION("""COMPUTED_VALUE"""),"G")</f>
        <v>G</v>
      </c>
      <c r="E1711" s="189" t="str">
        <f ca="1">IFERROR(__xludf.DUMMYFUNCTION("""COMPUTED_VALUE"""),"F")</f>
        <v>F</v>
      </c>
      <c r="F1711" s="189" t="str">
        <f ca="1">IFERROR(__xludf.DUMMYFUNCTION("""COMPUTED_VALUE"""),"J")</f>
        <v>J</v>
      </c>
      <c r="G1711" s="189">
        <f ca="1">IFERROR(__xludf.DUMMYFUNCTION("""COMPUTED_VALUE"""),8)</f>
        <v>8</v>
      </c>
      <c r="H1711" s="196" t="s">
        <v>711</v>
      </c>
      <c r="I1711" s="196"/>
      <c r="J1711" s="196" t="s">
        <v>29</v>
      </c>
      <c r="K1711" s="196"/>
      <c r="L1711" s="196" t="str">
        <v xml:space="preserve"> 15.00</v>
      </c>
      <c r="M1711" s="196"/>
    </row>
    <row r="1712" spans="1:13" ht="14.4" x14ac:dyDescent="0.3">
      <c r="A1712" s="189" t="str">
        <f ca="1">IFERROR(__xludf.DUMMYFUNCTION("""COMPUTED_VALUE"""),"SB")</f>
        <v>SB</v>
      </c>
      <c r="B1712" s="195" t="str">
        <f ca="1">IFERROR(__xludf.DUMMYFUNCTION("""COMPUTED_VALUE"""),"Ella Packard")</f>
        <v>Ella Packard</v>
      </c>
      <c r="C1712" s="189">
        <f ca="1">IFERROR(__xludf.DUMMYFUNCTION("""COMPUTED_VALUE"""),8)</f>
        <v>8</v>
      </c>
      <c r="D1712" s="189" t="str">
        <f ca="1">IFERROR(__xludf.DUMMYFUNCTION("""COMPUTED_VALUE"""),"G")</f>
        <v>G</v>
      </c>
      <c r="E1712" s="189" t="str">
        <f ca="1">IFERROR(__xludf.DUMMYFUNCTION("""COMPUTED_VALUE"""),"F")</f>
        <v>F</v>
      </c>
      <c r="F1712" s="189" t="str">
        <f ca="1">IFERROR(__xludf.DUMMYFUNCTION("""COMPUTED_VALUE"""),"J")</f>
        <v>J</v>
      </c>
      <c r="G1712" s="189">
        <f ca="1">IFERROR(__xludf.DUMMYFUNCTION("""COMPUTED_VALUE"""),8)</f>
        <v>8</v>
      </c>
      <c r="H1712" s="196"/>
      <c r="I1712" s="196"/>
      <c r="J1712" s="196"/>
      <c r="K1712" s="196"/>
      <c r="L1712" s="196" t="str">
        <v/>
      </c>
      <c r="M1712" s="196"/>
    </row>
    <row r="1713" spans="1:13" ht="14.4" x14ac:dyDescent="0.3">
      <c r="A1713" s="189" t="str">
        <f ca="1">IFERROR(__xludf.DUMMYFUNCTION("""COMPUTED_VALUE"""),"SB")</f>
        <v>SB</v>
      </c>
      <c r="B1713" s="195" t="str">
        <f ca="1">IFERROR(__xludf.DUMMYFUNCTION("""COMPUTED_VALUE"""),"Kenzie Doss")</f>
        <v>Kenzie Doss</v>
      </c>
      <c r="C1713" s="189">
        <f ca="1">IFERROR(__xludf.DUMMYFUNCTION("""COMPUTED_VALUE"""),9)</f>
        <v>9</v>
      </c>
      <c r="D1713" s="189" t="str">
        <f ca="1">IFERROR(__xludf.DUMMYFUNCTION("""COMPUTED_VALUE"""),"G")</f>
        <v>G</v>
      </c>
      <c r="E1713" s="189" t="str">
        <f ca="1">IFERROR(__xludf.DUMMYFUNCTION("""COMPUTED_VALUE"""),"F")</f>
        <v>F</v>
      </c>
      <c r="F1713" s="189" t="str">
        <f ca="1">IFERROR(__xludf.DUMMYFUNCTION("""COMPUTED_VALUE"""),"J")</f>
        <v>J</v>
      </c>
      <c r="G1713" s="189">
        <f ca="1">IFERROR(__xludf.DUMMYFUNCTION("""COMPUTED_VALUE"""),8)</f>
        <v>8</v>
      </c>
      <c r="H1713" s="196"/>
      <c r="I1713" s="196"/>
      <c r="J1713" s="196"/>
      <c r="K1713" s="196"/>
      <c r="L1713" s="196" t="str">
        <v/>
      </c>
      <c r="M1713" s="196"/>
    </row>
    <row r="1714" spans="1:13" ht="14.4" x14ac:dyDescent="0.3">
      <c r="A1714" s="189" t="str">
        <f ca="1">IFERROR(__xludf.DUMMYFUNCTION("""COMPUTED_VALUE"""),"SB")</f>
        <v>SB</v>
      </c>
      <c r="B1714" s="195" t="str">
        <f ca="1">IFERROR(__xludf.DUMMYFUNCTION("""COMPUTED_VALUE"""),"Matilda Duffy")</f>
        <v>Matilda Duffy</v>
      </c>
      <c r="C1714" s="189">
        <f ca="1">IFERROR(__xludf.DUMMYFUNCTION("""COMPUTED_VALUE"""),10)</f>
        <v>10</v>
      </c>
      <c r="D1714" s="189" t="str">
        <f ca="1">IFERROR(__xludf.DUMMYFUNCTION("""COMPUTED_VALUE"""),"G")</f>
        <v>G</v>
      </c>
      <c r="E1714" s="189" t="str">
        <f ca="1">IFERROR(__xludf.DUMMYFUNCTION("""COMPUTED_VALUE"""),"F")</f>
        <v>F</v>
      </c>
      <c r="F1714" s="189" t="str">
        <f ca="1">IFERROR(__xludf.DUMMYFUNCTION("""COMPUTED_VALUE"""),"J")</f>
        <v>J</v>
      </c>
      <c r="G1714" s="189">
        <f ca="1">IFERROR(__xludf.DUMMYFUNCTION("""COMPUTED_VALUE"""),8)</f>
        <v>8</v>
      </c>
      <c r="H1714" s="196" t="s">
        <v>712</v>
      </c>
      <c r="I1714" s="196"/>
      <c r="J1714" s="196" t="s">
        <v>29</v>
      </c>
      <c r="K1714" s="196"/>
      <c r="L1714" s="196" t="str">
        <v xml:space="preserve"> 17.60</v>
      </c>
      <c r="M1714" s="196"/>
    </row>
    <row r="1715" spans="1:13" ht="14.4" x14ac:dyDescent="0.3">
      <c r="A1715" s="189" t="str">
        <f ca="1">IFERROR(__xludf.DUMMYFUNCTION("""COMPUTED_VALUE"""),"SB")</f>
        <v>SB</v>
      </c>
      <c r="B1715" s="195" t="str">
        <f ca="1">IFERROR(__xludf.DUMMYFUNCTION("""COMPUTED_VALUE"""),"Mila Gonzales")</f>
        <v>Mila Gonzales</v>
      </c>
      <c r="C1715" s="189">
        <f ca="1">IFERROR(__xludf.DUMMYFUNCTION("""COMPUTED_VALUE"""),9)</f>
        <v>9</v>
      </c>
      <c r="D1715" s="189" t="str">
        <f ca="1">IFERROR(__xludf.DUMMYFUNCTION("""COMPUTED_VALUE"""),"G")</f>
        <v>G</v>
      </c>
      <c r="E1715" s="189" t="str">
        <f ca="1">IFERROR(__xludf.DUMMYFUNCTION("""COMPUTED_VALUE"""),"F")</f>
        <v>F</v>
      </c>
      <c r="F1715" s="189" t="str">
        <f ca="1">IFERROR(__xludf.DUMMYFUNCTION("""COMPUTED_VALUE"""),"J")</f>
        <v>J</v>
      </c>
      <c r="G1715" s="189">
        <f ca="1">IFERROR(__xludf.DUMMYFUNCTION("""COMPUTED_VALUE"""),8)</f>
        <v>8</v>
      </c>
      <c r="H1715" s="196" t="s">
        <v>493</v>
      </c>
      <c r="I1715" s="196"/>
      <c r="J1715" s="196" t="s">
        <v>29</v>
      </c>
      <c r="K1715" s="196"/>
      <c r="L1715" s="196" t="str">
        <v xml:space="preserve"> 38.50</v>
      </c>
      <c r="M1715" s="196"/>
    </row>
    <row r="1716" spans="1:13" ht="14.4" x14ac:dyDescent="0.3">
      <c r="A1716" s="189" t="str">
        <f ca="1">IFERROR(__xludf.DUMMYFUNCTION("""COMPUTED_VALUE"""),"SB")</f>
        <v>SB</v>
      </c>
      <c r="B1716" s="195" t="str">
        <f ca="1">IFERROR(__xludf.DUMMYFUNCTION("""COMPUTED_VALUE"""),"Sydney Lawyer")</f>
        <v>Sydney Lawyer</v>
      </c>
      <c r="C1716" s="189">
        <f ca="1">IFERROR(__xludf.DUMMYFUNCTION("""COMPUTED_VALUE"""),10)</f>
        <v>10</v>
      </c>
      <c r="D1716" s="189" t="str">
        <f ca="1">IFERROR(__xludf.DUMMYFUNCTION("""COMPUTED_VALUE"""),"G")</f>
        <v>G</v>
      </c>
      <c r="E1716" s="189" t="str">
        <f ca="1">IFERROR(__xludf.DUMMYFUNCTION("""COMPUTED_VALUE"""),"F")</f>
        <v>F</v>
      </c>
      <c r="F1716" s="189" t="str">
        <f ca="1">IFERROR(__xludf.DUMMYFUNCTION("""COMPUTED_VALUE"""),"J")</f>
        <v>J</v>
      </c>
      <c r="G1716" s="189">
        <f ca="1">IFERROR(__xludf.DUMMYFUNCTION("""COMPUTED_VALUE"""),8)</f>
        <v>8</v>
      </c>
      <c r="H1716" s="196" t="s">
        <v>713</v>
      </c>
      <c r="I1716" s="196"/>
      <c r="J1716" s="196" t="s">
        <v>64</v>
      </c>
      <c r="K1716" s="196"/>
      <c r="L1716" s="196" t="str">
        <v xml:space="preserve"> -57.40</v>
      </c>
      <c r="M1716" s="196"/>
    </row>
    <row r="1717" spans="1:13" ht="14.4" x14ac:dyDescent="0.3">
      <c r="A1717" s="189" t="str">
        <f ca="1">IFERROR(__xludf.DUMMYFUNCTION("""COMPUTED_VALUE"""),"SB")</f>
        <v>SB</v>
      </c>
      <c r="B1717" s="195" t="str">
        <f ca="1">IFERROR(__xludf.DUMMYFUNCTION("""COMPUTED_VALUE"""),"Adam Boyd")</f>
        <v>Adam Boyd</v>
      </c>
      <c r="C1717" s="189">
        <f ca="1">IFERROR(__xludf.DUMMYFUNCTION("""COMPUTED_VALUE"""),10)</f>
        <v>10</v>
      </c>
      <c r="D1717" s="189" t="str">
        <f ca="1">IFERROR(__xludf.DUMMYFUNCTION("""COMPUTED_VALUE"""),"B")</f>
        <v>B</v>
      </c>
      <c r="E1717" s="189" t="str">
        <f ca="1">IFERROR(__xludf.DUMMYFUNCTION("""COMPUTED_VALUE"""),"F")</f>
        <v>F</v>
      </c>
      <c r="F1717" s="189" t="str">
        <f ca="1">IFERROR(__xludf.DUMMYFUNCTION("""COMPUTED_VALUE"""),"J")</f>
        <v>J</v>
      </c>
      <c r="G1717" s="189">
        <f ca="1">IFERROR(__xludf.DUMMYFUNCTION("""COMPUTED_VALUE"""),8)</f>
        <v>8</v>
      </c>
      <c r="H1717" s="196" t="s">
        <v>714</v>
      </c>
      <c r="I1717" s="196"/>
      <c r="J1717" s="196" t="s">
        <v>29</v>
      </c>
      <c r="K1717" s="196"/>
      <c r="L1717" s="196" t="str">
        <v xml:space="preserve"> 28.15</v>
      </c>
      <c r="M1717" s="196"/>
    </row>
    <row r="1718" spans="1:13" ht="14.4" x14ac:dyDescent="0.3">
      <c r="A1718" s="189" t="str">
        <f ca="1">IFERROR(__xludf.DUMMYFUNCTION("""COMPUTED_VALUE"""),"SB")</f>
        <v>SB</v>
      </c>
      <c r="B1718" s="195" t="str">
        <f ca="1">IFERROR(__xludf.DUMMYFUNCTION("""COMPUTED_VALUE"""),"Grant Burgess")</f>
        <v>Grant Burgess</v>
      </c>
      <c r="C1718" s="189">
        <f ca="1">IFERROR(__xludf.DUMMYFUNCTION("""COMPUTED_VALUE"""),9)</f>
        <v>9</v>
      </c>
      <c r="D1718" s="189" t="str">
        <f ca="1">IFERROR(__xludf.DUMMYFUNCTION("""COMPUTED_VALUE"""),"B")</f>
        <v>B</v>
      </c>
      <c r="E1718" s="189" t="str">
        <f ca="1">IFERROR(__xludf.DUMMYFUNCTION("""COMPUTED_VALUE"""),"F")</f>
        <v>F</v>
      </c>
      <c r="F1718" s="189" t="str">
        <f ca="1">IFERROR(__xludf.DUMMYFUNCTION("""COMPUTED_VALUE"""),"J")</f>
        <v>J</v>
      </c>
      <c r="G1718" s="189">
        <f ca="1">IFERROR(__xludf.DUMMYFUNCTION("""COMPUTED_VALUE"""),8)</f>
        <v>8</v>
      </c>
      <c r="H1718" s="196" t="s">
        <v>715</v>
      </c>
      <c r="I1718" s="196"/>
      <c r="J1718" s="196" t="s">
        <v>29</v>
      </c>
      <c r="K1718" s="196"/>
      <c r="L1718" s="196" t="str">
        <v xml:space="preserve"> 40.95</v>
      </c>
      <c r="M1718" s="196"/>
    </row>
    <row r="1719" spans="1:13" ht="14.4" x14ac:dyDescent="0.3">
      <c r="A1719" s="189" t="str">
        <f ca="1">IFERROR(__xludf.DUMMYFUNCTION("""COMPUTED_VALUE"""),"SB")</f>
        <v>SB</v>
      </c>
      <c r="B1719" s="195" t="str">
        <f ca="1">IFERROR(__xludf.DUMMYFUNCTION("""COMPUTED_VALUE"""),"Samuel Gonzales")</f>
        <v>Samuel Gonzales</v>
      </c>
      <c r="C1719" s="189">
        <f ca="1">IFERROR(__xludf.DUMMYFUNCTION("""COMPUTED_VALUE"""),7)</f>
        <v>7</v>
      </c>
      <c r="D1719" s="189" t="str">
        <f ca="1">IFERROR(__xludf.DUMMYFUNCTION("""COMPUTED_VALUE"""),"B")</f>
        <v>B</v>
      </c>
      <c r="E1719" s="189" t="str">
        <f ca="1">IFERROR(__xludf.DUMMYFUNCTION("""COMPUTED_VALUE"""),"F")</f>
        <v>F</v>
      </c>
      <c r="F1719" s="189" t="str">
        <f ca="1">IFERROR(__xludf.DUMMYFUNCTION("""COMPUTED_VALUE"""),"J")</f>
        <v>J</v>
      </c>
      <c r="G1719" s="189">
        <f ca="1">IFERROR(__xludf.DUMMYFUNCTION("""COMPUTED_VALUE"""),8)</f>
        <v>8</v>
      </c>
      <c r="H1719" s="196"/>
      <c r="I1719" s="196"/>
      <c r="J1719" s="196"/>
      <c r="K1719" s="196"/>
      <c r="L1719" s="196" t="str">
        <v/>
      </c>
      <c r="M1719" s="196"/>
    </row>
    <row r="1720" spans="1:13" ht="14.4" x14ac:dyDescent="0.3">
      <c r="A1720" s="189" t="str">
        <f ca="1">IFERROR(__xludf.DUMMYFUNCTION("""COMPUTED_VALUE"""),"SB")</f>
        <v>SB</v>
      </c>
      <c r="B1720" s="195" t="str">
        <f ca="1">IFERROR(__xludf.DUMMYFUNCTION("""COMPUTED_VALUE"""),"Samuel Kim")</f>
        <v>Samuel Kim</v>
      </c>
      <c r="C1720" s="189">
        <f ca="1">IFERROR(__xludf.DUMMYFUNCTION("""COMPUTED_VALUE"""),7)</f>
        <v>7</v>
      </c>
      <c r="D1720" s="189" t="str">
        <f ca="1">IFERROR(__xludf.DUMMYFUNCTION("""COMPUTED_VALUE"""),"B")</f>
        <v>B</v>
      </c>
      <c r="E1720" s="189" t="str">
        <f ca="1">IFERROR(__xludf.DUMMYFUNCTION("""COMPUTED_VALUE"""),"F")</f>
        <v>F</v>
      </c>
      <c r="F1720" s="189" t="str">
        <f ca="1">IFERROR(__xludf.DUMMYFUNCTION("""COMPUTED_VALUE"""),"J")</f>
        <v>J</v>
      </c>
      <c r="G1720" s="189">
        <f ca="1">IFERROR(__xludf.DUMMYFUNCTION("""COMPUTED_VALUE"""),8)</f>
        <v>8</v>
      </c>
      <c r="H1720" s="196" t="s">
        <v>716</v>
      </c>
      <c r="I1720" s="196"/>
      <c r="J1720" s="196" t="s">
        <v>29</v>
      </c>
      <c r="K1720" s="196"/>
      <c r="L1720" s="196" t="str">
        <v xml:space="preserve"> 30.55</v>
      </c>
      <c r="M1720" s="196"/>
    </row>
    <row r="1721" spans="1:13" ht="14.4" x14ac:dyDescent="0.3">
      <c r="A1721" s="189" t="str">
        <f ca="1">IFERROR(__xludf.DUMMYFUNCTION("""COMPUTED_VALUE"""),"SB")</f>
        <v>SB</v>
      </c>
      <c r="B1721" s="195" t="str">
        <f ca="1">IFERROR(__xludf.DUMMYFUNCTION("""COMPUTED_VALUE"""),"Santiago Perez")</f>
        <v>Santiago Perez</v>
      </c>
      <c r="C1721" s="189">
        <f ca="1">IFERROR(__xludf.DUMMYFUNCTION("""COMPUTED_VALUE"""),9)</f>
        <v>9</v>
      </c>
      <c r="D1721" s="189" t="str">
        <f ca="1">IFERROR(__xludf.DUMMYFUNCTION("""COMPUTED_VALUE"""),"B")</f>
        <v>B</v>
      </c>
      <c r="E1721" s="189" t="str">
        <f ca="1">IFERROR(__xludf.DUMMYFUNCTION("""COMPUTED_VALUE"""),"F")</f>
        <v>F</v>
      </c>
      <c r="F1721" s="189" t="str">
        <f ca="1">IFERROR(__xludf.DUMMYFUNCTION("""COMPUTED_VALUE"""),"J")</f>
        <v>J</v>
      </c>
      <c r="G1721" s="189">
        <f ca="1">IFERROR(__xludf.DUMMYFUNCTION("""COMPUTED_VALUE"""),8)</f>
        <v>8</v>
      </c>
      <c r="H1721" s="196"/>
      <c r="I1721" s="196"/>
      <c r="J1721" s="196"/>
      <c r="K1721" s="196"/>
      <c r="L1721" s="196" t="str">
        <v/>
      </c>
      <c r="M1721" s="196"/>
    </row>
    <row r="1722" spans="1:13" ht="14.4" x14ac:dyDescent="0.3">
      <c r="A1722" s="189" t="str">
        <f ca="1">IFERROR(__xludf.DUMMYFUNCTION("""COMPUTED_VALUE"""),"SB")</f>
        <v>SB</v>
      </c>
      <c r="B1722" s="195" t="str">
        <f ca="1">IFERROR(__xludf.DUMMYFUNCTION("""COMPUTED_VALUE"""),"Theo Stratford")</f>
        <v>Theo Stratford</v>
      </c>
      <c r="C1722" s="189">
        <f ca="1">IFERROR(__xludf.DUMMYFUNCTION("""COMPUTED_VALUE"""),8)</f>
        <v>8</v>
      </c>
      <c r="D1722" s="189" t="str">
        <f ca="1">IFERROR(__xludf.DUMMYFUNCTION("""COMPUTED_VALUE"""),"B")</f>
        <v>B</v>
      </c>
      <c r="E1722" s="189" t="str">
        <f ca="1">IFERROR(__xludf.DUMMYFUNCTION("""COMPUTED_VALUE"""),"F")</f>
        <v>F</v>
      </c>
      <c r="F1722" s="189" t="str">
        <f ca="1">IFERROR(__xludf.DUMMYFUNCTION("""COMPUTED_VALUE"""),"J")</f>
        <v>J</v>
      </c>
      <c r="G1722" s="189">
        <f ca="1">IFERROR(__xludf.DUMMYFUNCTION("""COMPUTED_VALUE"""),8)</f>
        <v>8</v>
      </c>
      <c r="H1722" s="196" t="s">
        <v>717</v>
      </c>
      <c r="I1722" s="196"/>
      <c r="J1722" s="196" t="s">
        <v>29</v>
      </c>
      <c r="K1722" s="196"/>
      <c r="L1722" s="196" t="str">
        <v xml:space="preserve"> 46.15</v>
      </c>
      <c r="M1722" s="196"/>
    </row>
    <row r="1723" spans="1:13" ht="14.4" x14ac:dyDescent="0.3">
      <c r="A1723" s="189" t="str">
        <f ca="1">IFERROR(__xludf.DUMMYFUNCTION("""COMPUTED_VALUE"""),"SB")</f>
        <v>SB</v>
      </c>
      <c r="B1723" s="195" t="str">
        <f ca="1">IFERROR(__xludf.DUMMYFUNCTION("""COMPUTED_VALUE"""),"Cassandra Duffy")</f>
        <v>Cassandra Duffy</v>
      </c>
      <c r="C1723" s="189">
        <f ca="1">IFERROR(__xludf.DUMMYFUNCTION("""COMPUTED_VALUE"""),13)</f>
        <v>13</v>
      </c>
      <c r="D1723" s="189" t="str">
        <f ca="1">IFERROR(__xludf.DUMMYFUNCTION("""COMPUTED_VALUE"""),"G")</f>
        <v>G</v>
      </c>
      <c r="E1723" s="189" t="str">
        <f ca="1">IFERROR(__xludf.DUMMYFUNCTION("""COMPUTED_VALUE"""),"I")</f>
        <v>I</v>
      </c>
      <c r="F1723" s="189" t="str">
        <f ca="1">IFERROR(__xludf.DUMMYFUNCTION("""COMPUTED_VALUE"""),"S")</f>
        <v>S</v>
      </c>
      <c r="G1723" s="189">
        <f ca="1">IFERROR(__xludf.DUMMYFUNCTION("""COMPUTED_VALUE"""),8)</f>
        <v>8</v>
      </c>
      <c r="H1723" s="196"/>
      <c r="I1723" s="196"/>
      <c r="J1723" s="196"/>
      <c r="K1723" s="196"/>
      <c r="L1723" s="196" t="str">
        <v/>
      </c>
      <c r="M1723" s="196"/>
    </row>
    <row r="1724" spans="1:13" ht="14.4" x14ac:dyDescent="0.3">
      <c r="A1724" s="189" t="str">
        <f ca="1">IFERROR(__xludf.DUMMYFUNCTION("""COMPUTED_VALUE"""),"SB")</f>
        <v>SB</v>
      </c>
      <c r="B1724" s="195" t="str">
        <f ca="1">IFERROR(__xludf.DUMMYFUNCTION("""COMPUTED_VALUE"""),"Hannah Wilson")</f>
        <v>Hannah Wilson</v>
      </c>
      <c r="C1724" s="189">
        <f ca="1">IFERROR(__xludf.DUMMYFUNCTION("""COMPUTED_VALUE"""),14)</f>
        <v>14</v>
      </c>
      <c r="D1724" s="189" t="str">
        <f ca="1">IFERROR(__xludf.DUMMYFUNCTION("""COMPUTED_VALUE"""),"G")</f>
        <v>G</v>
      </c>
      <c r="E1724" s="189" t="str">
        <f ca="1">IFERROR(__xludf.DUMMYFUNCTION("""COMPUTED_VALUE"""),"I")</f>
        <v>I</v>
      </c>
      <c r="F1724" s="189" t="str">
        <f ca="1">IFERROR(__xludf.DUMMYFUNCTION("""COMPUTED_VALUE"""),"S")</f>
        <v>S</v>
      </c>
      <c r="G1724" s="189">
        <f ca="1">IFERROR(__xludf.DUMMYFUNCTION("""COMPUTED_VALUE"""),8)</f>
        <v>8</v>
      </c>
      <c r="H1724" s="196" t="s">
        <v>529</v>
      </c>
      <c r="I1724" s="196"/>
      <c r="J1724" s="196" t="s">
        <v>29</v>
      </c>
      <c r="K1724" s="196"/>
      <c r="L1724" s="196" t="str">
        <v xml:space="preserve"> 90.45</v>
      </c>
      <c r="M1724" s="196"/>
    </row>
    <row r="1725" spans="1:13" ht="14.4" x14ac:dyDescent="0.3">
      <c r="A1725" s="189" t="str">
        <f ca="1">IFERROR(__xludf.DUMMYFUNCTION("""COMPUTED_VALUE"""),"SB")</f>
        <v>SB</v>
      </c>
      <c r="B1725" s="195" t="str">
        <f ca="1">IFERROR(__xludf.DUMMYFUNCTION("""COMPUTED_VALUE"""),"Lily Miller")</f>
        <v>Lily Miller</v>
      </c>
      <c r="C1725" s="189">
        <f ca="1">IFERROR(__xludf.DUMMYFUNCTION("""COMPUTED_VALUE"""),14)</f>
        <v>14</v>
      </c>
      <c r="D1725" s="189" t="str">
        <f ca="1">IFERROR(__xludf.DUMMYFUNCTION("""COMPUTED_VALUE"""),"G")</f>
        <v>G</v>
      </c>
      <c r="E1725" s="189" t="str">
        <f ca="1">IFERROR(__xludf.DUMMYFUNCTION("""COMPUTED_VALUE"""),"I")</f>
        <v>I</v>
      </c>
      <c r="F1725" s="189" t="str">
        <f ca="1">IFERROR(__xludf.DUMMYFUNCTION("""COMPUTED_VALUE"""),"S")</f>
        <v>S</v>
      </c>
      <c r="G1725" s="189">
        <f ca="1">IFERROR(__xludf.DUMMYFUNCTION("""COMPUTED_VALUE"""),8)</f>
        <v>8</v>
      </c>
      <c r="H1725" s="196" t="s">
        <v>278</v>
      </c>
      <c r="I1725" s="196"/>
      <c r="J1725" s="196" t="s">
        <v>29</v>
      </c>
      <c r="K1725" s="196"/>
      <c r="L1725" s="196" t="str">
        <v xml:space="preserve"> 59.60</v>
      </c>
      <c r="M1725" s="196"/>
    </row>
    <row r="1726" spans="1:13" ht="14.4" x14ac:dyDescent="0.3">
      <c r="A1726" s="189" t="str">
        <f ca="1">IFERROR(__xludf.DUMMYFUNCTION("""COMPUTED_VALUE"""),"SB")</f>
        <v>SB</v>
      </c>
      <c r="B1726" s="195" t="str">
        <f ca="1">IFERROR(__xludf.DUMMYFUNCTION("""COMPUTED_VALUE"""),"Colby Kogut")</f>
        <v>Colby Kogut</v>
      </c>
      <c r="C1726" s="189">
        <f ca="1">IFERROR(__xludf.DUMMYFUNCTION("""COMPUTED_VALUE"""),13)</f>
        <v>13</v>
      </c>
      <c r="D1726" s="189" t="str">
        <f ca="1">IFERROR(__xludf.DUMMYFUNCTION("""COMPUTED_VALUE"""),"B")</f>
        <v>B</v>
      </c>
      <c r="E1726" s="189" t="str">
        <f ca="1">IFERROR(__xludf.DUMMYFUNCTION("""COMPUTED_VALUE"""),"I")</f>
        <v>I</v>
      </c>
      <c r="F1726" s="189" t="str">
        <f ca="1">IFERROR(__xludf.DUMMYFUNCTION("""COMPUTED_VALUE"""),"S")</f>
        <v>S</v>
      </c>
      <c r="G1726" s="189">
        <f ca="1">IFERROR(__xludf.DUMMYFUNCTION("""COMPUTED_VALUE"""),8)</f>
        <v>8</v>
      </c>
      <c r="H1726" s="196" t="s">
        <v>718</v>
      </c>
      <c r="I1726" s="196"/>
      <c r="J1726" s="196" t="s">
        <v>29</v>
      </c>
      <c r="K1726" s="196"/>
      <c r="L1726" s="196" t="str">
        <v xml:space="preserve"> 52.45</v>
      </c>
      <c r="M1726" s="196"/>
    </row>
    <row r="1727" spans="1:13" ht="14.4" x14ac:dyDescent="0.3">
      <c r="A1727" s="189" t="str">
        <f ca="1">IFERROR(__xludf.DUMMYFUNCTION("""COMPUTED_VALUE"""),"SB")</f>
        <v>SB</v>
      </c>
      <c r="B1727" s="195" t="str">
        <f ca="1">IFERROR(__xludf.DUMMYFUNCTION("""COMPUTED_VALUE"""),"Ellie Farnsworth")</f>
        <v>Ellie Farnsworth</v>
      </c>
      <c r="C1727" s="189">
        <f ca="1">IFERROR(__xludf.DUMMYFUNCTION("""COMPUTED_VALUE"""),11)</f>
        <v>11</v>
      </c>
      <c r="D1727" s="189" t="str">
        <f ca="1">IFERROR(__xludf.DUMMYFUNCTION("""COMPUTED_VALUE"""),"G")</f>
        <v>G</v>
      </c>
      <c r="E1727" s="189" t="str">
        <f ca="1">IFERROR(__xludf.DUMMYFUNCTION("""COMPUTED_VALUE"""),"J")</f>
        <v>J</v>
      </c>
      <c r="F1727" s="189" t="str">
        <f ca="1">IFERROR(__xludf.DUMMYFUNCTION("""COMPUTED_VALUE"""),"I")</f>
        <v>I</v>
      </c>
      <c r="G1727" s="189">
        <f ca="1">IFERROR(__xludf.DUMMYFUNCTION("""COMPUTED_VALUE"""),8)</f>
        <v>8</v>
      </c>
      <c r="H1727" s="196"/>
      <c r="I1727" s="196"/>
      <c r="J1727" s="196"/>
      <c r="K1727" s="196"/>
      <c r="L1727" s="196" t="str">
        <v/>
      </c>
      <c r="M1727" s="196"/>
    </row>
    <row r="1728" spans="1:13" ht="14.4" x14ac:dyDescent="0.3">
      <c r="A1728" s="189" t="str">
        <f ca="1">IFERROR(__xludf.DUMMYFUNCTION("""COMPUTED_VALUE"""),"SB")</f>
        <v>SB</v>
      </c>
      <c r="B1728" s="195" t="str">
        <f ca="1">IFERROR(__xludf.DUMMYFUNCTION("""COMPUTED_VALUE"""),"Jem Wahler")</f>
        <v>Jem Wahler</v>
      </c>
      <c r="C1728" s="189">
        <f ca="1">IFERROR(__xludf.DUMMYFUNCTION("""COMPUTED_VALUE"""),12)</f>
        <v>12</v>
      </c>
      <c r="D1728" s="189" t="str">
        <f ca="1">IFERROR(__xludf.DUMMYFUNCTION("""COMPUTED_VALUE"""),"G")</f>
        <v>G</v>
      </c>
      <c r="E1728" s="189" t="str">
        <f ca="1">IFERROR(__xludf.DUMMYFUNCTION("""COMPUTED_VALUE"""),"J")</f>
        <v>J</v>
      </c>
      <c r="F1728" s="189" t="str">
        <f ca="1">IFERROR(__xludf.DUMMYFUNCTION("""COMPUTED_VALUE"""),"I")</f>
        <v>I</v>
      </c>
      <c r="G1728" s="189">
        <f ca="1">IFERROR(__xludf.DUMMYFUNCTION("""COMPUTED_VALUE"""),8)</f>
        <v>8</v>
      </c>
      <c r="H1728" s="196"/>
      <c r="I1728" s="196"/>
      <c r="J1728" s="196"/>
      <c r="K1728" s="196"/>
      <c r="L1728" s="196" t="str">
        <v/>
      </c>
      <c r="M1728" s="196"/>
    </row>
    <row r="1729" spans="1:13" ht="14.4" x14ac:dyDescent="0.3">
      <c r="A1729" s="189" t="str">
        <f ca="1">IFERROR(__xludf.DUMMYFUNCTION("""COMPUTED_VALUE"""),"SB")</f>
        <v>SB</v>
      </c>
      <c r="B1729" s="195" t="str">
        <f ca="1">IFERROR(__xludf.DUMMYFUNCTION("""COMPUTED_VALUE"""),"Lydia Miller")</f>
        <v>Lydia Miller</v>
      </c>
      <c r="C1729" s="189">
        <f ca="1">IFERROR(__xludf.DUMMYFUNCTION("""COMPUTED_VALUE"""),11)</f>
        <v>11</v>
      </c>
      <c r="D1729" s="189" t="str">
        <f ca="1">IFERROR(__xludf.DUMMYFUNCTION("""COMPUTED_VALUE"""),"G")</f>
        <v>G</v>
      </c>
      <c r="E1729" s="189" t="str">
        <f ca="1">IFERROR(__xludf.DUMMYFUNCTION("""COMPUTED_VALUE"""),"J")</f>
        <v>J</v>
      </c>
      <c r="F1729" s="189" t="str">
        <f ca="1">IFERROR(__xludf.DUMMYFUNCTION("""COMPUTED_VALUE"""),"I")</f>
        <v>I</v>
      </c>
      <c r="G1729" s="189">
        <f ca="1">IFERROR(__xludf.DUMMYFUNCTION("""COMPUTED_VALUE"""),8)</f>
        <v>8</v>
      </c>
      <c r="H1729" s="196"/>
      <c r="I1729" s="196"/>
      <c r="J1729" s="196"/>
      <c r="K1729" s="196"/>
      <c r="L1729" s="196" t="str">
        <v/>
      </c>
      <c r="M1729" s="196"/>
    </row>
    <row r="1730" spans="1:13" ht="14.4" x14ac:dyDescent="0.3">
      <c r="A1730" s="189" t="str">
        <f ca="1">IFERROR(__xludf.DUMMYFUNCTION("""COMPUTED_VALUE"""),"SB")</f>
        <v>SB</v>
      </c>
      <c r="B1730" s="195" t="str">
        <f ca="1">IFERROR(__xludf.DUMMYFUNCTION("""COMPUTED_VALUE"""),"Chris Buell")</f>
        <v>Chris Buell</v>
      </c>
      <c r="C1730" s="189">
        <f ca="1">IFERROR(__xludf.DUMMYFUNCTION("""COMPUTED_VALUE"""),11)</f>
        <v>11</v>
      </c>
      <c r="D1730" s="189" t="str">
        <f ca="1">IFERROR(__xludf.DUMMYFUNCTION("""COMPUTED_VALUE"""),"B")</f>
        <v>B</v>
      </c>
      <c r="E1730" s="189" t="str">
        <f ca="1">IFERROR(__xludf.DUMMYFUNCTION("""COMPUTED_VALUE"""),"J")</f>
        <v>J</v>
      </c>
      <c r="F1730" s="189" t="str">
        <f ca="1">IFERROR(__xludf.DUMMYFUNCTION("""COMPUTED_VALUE"""),"I")</f>
        <v>I</v>
      </c>
      <c r="G1730" s="189">
        <f ca="1">IFERROR(__xludf.DUMMYFUNCTION("""COMPUTED_VALUE"""),8)</f>
        <v>8</v>
      </c>
      <c r="H1730" s="196" t="s">
        <v>498</v>
      </c>
      <c r="I1730" s="196"/>
      <c r="J1730" s="196" t="s">
        <v>29</v>
      </c>
      <c r="K1730" s="196"/>
      <c r="L1730" s="196" t="str">
        <v xml:space="preserve"> 64.60</v>
      </c>
      <c r="M1730" s="196"/>
    </row>
    <row r="1731" spans="1:13" ht="14.4" x14ac:dyDescent="0.3">
      <c r="A1731" s="189" t="str">
        <f ca="1">IFERROR(__xludf.DUMMYFUNCTION("""COMPUTED_VALUE"""),"SB")</f>
        <v>SB</v>
      </c>
      <c r="B1731" s="195" t="str">
        <f ca="1">IFERROR(__xludf.DUMMYFUNCTION("""COMPUTED_VALUE"""),"Aicha Boyd")</f>
        <v>Aicha Boyd</v>
      </c>
      <c r="C1731" s="189">
        <f ca="1">IFERROR(__xludf.DUMMYFUNCTION("""COMPUTED_VALUE"""),16)</f>
        <v>16</v>
      </c>
      <c r="D1731" s="189" t="str">
        <f ca="1">IFERROR(__xludf.DUMMYFUNCTION("""COMPUTED_VALUE"""),"G")</f>
        <v>G</v>
      </c>
      <c r="E1731" s="189" t="str">
        <f ca="1">IFERROR(__xludf.DUMMYFUNCTION("""COMPUTED_VALUE"""),"S")</f>
        <v>S</v>
      </c>
      <c r="F1731" s="189" t="str">
        <f ca="1">IFERROR(__xludf.DUMMYFUNCTION("""COMPUTED_VALUE"""),"S")</f>
        <v>S</v>
      </c>
      <c r="G1731" s="189">
        <f ca="1">IFERROR(__xludf.DUMMYFUNCTION("""COMPUTED_VALUE"""),8)</f>
        <v>8</v>
      </c>
      <c r="H1731" s="196" t="s">
        <v>258</v>
      </c>
      <c r="I1731" s="196"/>
      <c r="J1731" s="196" t="s">
        <v>29</v>
      </c>
      <c r="K1731" s="196"/>
      <c r="L1731" s="196" t="str">
        <v xml:space="preserve"> 63.80</v>
      </c>
      <c r="M1731" s="196"/>
    </row>
    <row r="1732" spans="1:13" ht="14.4" x14ac:dyDescent="0.3">
      <c r="A1732" s="189" t="str">
        <f ca="1">IFERROR(__xludf.DUMMYFUNCTION("""COMPUTED_VALUE"""),"SB")</f>
        <v>SB</v>
      </c>
      <c r="B1732" s="195" t="str">
        <f ca="1">IFERROR(__xludf.DUMMYFUNCTION("""COMPUTED_VALUE"""),"Gaby Cordon")</f>
        <v>Gaby Cordon</v>
      </c>
      <c r="C1732" s="189">
        <f ca="1">IFERROR(__xludf.DUMMYFUNCTION("""COMPUTED_VALUE"""),16)</f>
        <v>16</v>
      </c>
      <c r="D1732" s="189" t="str">
        <f ca="1">IFERROR(__xludf.DUMMYFUNCTION("""COMPUTED_VALUE"""),"G")</f>
        <v>G</v>
      </c>
      <c r="E1732" s="189" t="str">
        <f ca="1">IFERROR(__xludf.DUMMYFUNCTION("""COMPUTED_VALUE"""),"S")</f>
        <v>S</v>
      </c>
      <c r="F1732" s="189" t="str">
        <f ca="1">IFERROR(__xludf.DUMMYFUNCTION("""COMPUTED_VALUE"""),"S")</f>
        <v>S</v>
      </c>
      <c r="G1732" s="189">
        <f ca="1">IFERROR(__xludf.DUMMYFUNCTION("""COMPUTED_VALUE"""),8)</f>
        <v>8</v>
      </c>
      <c r="H1732" s="196"/>
      <c r="I1732" s="196"/>
      <c r="J1732" s="196"/>
      <c r="K1732" s="196"/>
      <c r="L1732" s="196" t="str">
        <v/>
      </c>
      <c r="M1732" s="196"/>
    </row>
    <row r="1733" spans="1:13" ht="14.4" x14ac:dyDescent="0.3">
      <c r="A1733" s="189" t="str">
        <f ca="1">IFERROR(__xludf.DUMMYFUNCTION("""COMPUTED_VALUE"""),"SB")</f>
        <v>SB</v>
      </c>
      <c r="B1733" s="195" t="str">
        <f ca="1">IFERROR(__xludf.DUMMYFUNCTION("""COMPUTED_VALUE"""),"Katie Gallegos")</f>
        <v>Katie Gallegos</v>
      </c>
      <c r="C1733" s="189">
        <f ca="1">IFERROR(__xludf.DUMMYFUNCTION("""COMPUTED_VALUE"""),16)</f>
        <v>16</v>
      </c>
      <c r="D1733" s="189" t="str">
        <f ca="1">IFERROR(__xludf.DUMMYFUNCTION("""COMPUTED_VALUE"""),"G")</f>
        <v>G</v>
      </c>
      <c r="E1733" s="189" t="str">
        <f ca="1">IFERROR(__xludf.DUMMYFUNCTION("""COMPUTED_VALUE"""),"S")</f>
        <v>S</v>
      </c>
      <c r="F1733" s="189" t="str">
        <f ca="1">IFERROR(__xludf.DUMMYFUNCTION("""COMPUTED_VALUE"""),"S")</f>
        <v>S</v>
      </c>
      <c r="G1733" s="189">
        <f ca="1">IFERROR(__xludf.DUMMYFUNCTION("""COMPUTED_VALUE"""),8)</f>
        <v>8</v>
      </c>
      <c r="H1733" s="196"/>
      <c r="I1733" s="196"/>
      <c r="J1733" s="196"/>
      <c r="K1733" s="196"/>
      <c r="L1733" s="196" t="str">
        <v/>
      </c>
      <c r="M1733" s="196"/>
    </row>
    <row r="1734" spans="1:13" ht="14.4" x14ac:dyDescent="0.3">
      <c r="A1734" s="189" t="str">
        <f ca="1">IFERROR(__xludf.DUMMYFUNCTION("""COMPUTED_VALUE"""),"SB")</f>
        <v>SB</v>
      </c>
      <c r="B1734" s="195" t="str">
        <f ca="1">IFERROR(__xludf.DUMMYFUNCTION("""COMPUTED_VALUE"""),"Carlo Vella")</f>
        <v>Carlo Vella</v>
      </c>
      <c r="C1734" s="189">
        <f ca="1">IFERROR(__xludf.DUMMYFUNCTION("""COMPUTED_VALUE"""),16)</f>
        <v>16</v>
      </c>
      <c r="D1734" s="189" t="str">
        <f ca="1">IFERROR(__xludf.DUMMYFUNCTION("""COMPUTED_VALUE"""),"B")</f>
        <v>B</v>
      </c>
      <c r="E1734" s="189" t="str">
        <f ca="1">IFERROR(__xludf.DUMMYFUNCTION("""COMPUTED_VALUE"""),"S")</f>
        <v>S</v>
      </c>
      <c r="F1734" s="189" t="str">
        <f ca="1">IFERROR(__xludf.DUMMYFUNCTION("""COMPUTED_VALUE"""),"S")</f>
        <v>S</v>
      </c>
      <c r="G1734" s="189">
        <f ca="1">IFERROR(__xludf.DUMMYFUNCTION("""COMPUTED_VALUE"""),8)</f>
        <v>8</v>
      </c>
      <c r="H1734" s="196" t="s">
        <v>719</v>
      </c>
      <c r="I1734" s="196"/>
      <c r="J1734" s="196" t="s">
        <v>29</v>
      </c>
      <c r="K1734" s="196"/>
      <c r="L1734" s="196" t="str">
        <v xml:space="preserve"> 88.95</v>
      </c>
      <c r="M1734" s="196"/>
    </row>
    <row r="1735" spans="1:13" ht="14.4" x14ac:dyDescent="0.3">
      <c r="A1735" s="189" t="str">
        <f ca="1">IFERROR(__xludf.DUMMYFUNCTION("""COMPUTED_VALUE"""),"SHB")</f>
        <v>SHB</v>
      </c>
      <c r="B1735" s="195" t="str">
        <f ca="1">IFERROR(__xludf.DUMMYFUNCTION("""COMPUTED_VALUE"""),"Allie Benone")</f>
        <v>Allie Benone</v>
      </c>
      <c r="C1735" s="189">
        <f ca="1">IFERROR(__xludf.DUMMYFUNCTION("""COMPUTED_VALUE"""),9)</f>
        <v>9</v>
      </c>
      <c r="D1735" s="189" t="str">
        <f ca="1">IFERROR(__xludf.DUMMYFUNCTION("""COMPUTED_VALUE"""),"G")</f>
        <v>G</v>
      </c>
      <c r="E1735" s="189" t="str">
        <f ca="1">IFERROR(__xludf.DUMMYFUNCTION("""COMPUTED_VALUE"""),"F")</f>
        <v>F</v>
      </c>
      <c r="F1735" s="189" t="str">
        <f ca="1">IFERROR(__xludf.DUMMYFUNCTION("""COMPUTED_VALUE"""),"J")</f>
        <v>J</v>
      </c>
      <c r="G1735" s="189">
        <f ca="1">IFERROR(__xludf.DUMMYFUNCTION("""COMPUTED_VALUE"""),6)</f>
        <v>6</v>
      </c>
      <c r="H1735" s="196" t="s">
        <v>720</v>
      </c>
      <c r="I1735" s="196"/>
      <c r="J1735" s="196" t="s">
        <v>29</v>
      </c>
      <c r="K1735" s="196"/>
      <c r="L1735" s="196" t="str">
        <v xml:space="preserve"> 28.95</v>
      </c>
      <c r="M1735" s="196"/>
    </row>
    <row r="1736" spans="1:13" ht="14.4" x14ac:dyDescent="0.3">
      <c r="A1736" s="189" t="str">
        <f ca="1">IFERROR(__xludf.DUMMYFUNCTION("""COMPUTED_VALUE"""),"SHB")</f>
        <v>SHB</v>
      </c>
      <c r="B1736" s="195" t="str">
        <f ca="1">IFERROR(__xludf.DUMMYFUNCTION("""COMPUTED_VALUE"""),"Asha Seeratan Holohan")</f>
        <v>Asha Seeratan Holohan</v>
      </c>
      <c r="C1736" s="189">
        <f ca="1">IFERROR(__xludf.DUMMYFUNCTION("""COMPUTED_VALUE"""),6)</f>
        <v>6</v>
      </c>
      <c r="D1736" s="189" t="str">
        <f ca="1">IFERROR(__xludf.DUMMYFUNCTION("""COMPUTED_VALUE"""),"G")</f>
        <v>G</v>
      </c>
      <c r="E1736" s="189" t="str">
        <f ca="1">IFERROR(__xludf.DUMMYFUNCTION("""COMPUTED_VALUE"""),"F")</f>
        <v>F</v>
      </c>
      <c r="F1736" s="189" t="str">
        <f ca="1">IFERROR(__xludf.DUMMYFUNCTION("""COMPUTED_VALUE"""),"J")</f>
        <v>J</v>
      </c>
      <c r="G1736" s="189">
        <f ca="1">IFERROR(__xludf.DUMMYFUNCTION("""COMPUTED_VALUE"""),6)</f>
        <v>6</v>
      </c>
      <c r="H1736" s="196"/>
      <c r="I1736" s="196"/>
      <c r="J1736" s="196"/>
      <c r="K1736" s="196"/>
      <c r="L1736" s="196" t="str">
        <v/>
      </c>
      <c r="M1736" s="196"/>
    </row>
    <row r="1737" spans="1:13" ht="14.4" x14ac:dyDescent="0.3">
      <c r="A1737" s="189" t="str">
        <f ca="1">IFERROR(__xludf.DUMMYFUNCTION("""COMPUTED_VALUE"""),"SHB")</f>
        <v>SHB</v>
      </c>
      <c r="B1737" s="195" t="str">
        <f ca="1">IFERROR(__xludf.DUMMYFUNCTION("""COMPUTED_VALUE"""),"Bee Brown")</f>
        <v>Bee Brown</v>
      </c>
      <c r="C1737" s="189">
        <f ca="1">IFERROR(__xludf.DUMMYFUNCTION("""COMPUTED_VALUE"""),9)</f>
        <v>9</v>
      </c>
      <c r="D1737" s="189" t="str">
        <f ca="1">IFERROR(__xludf.DUMMYFUNCTION("""COMPUTED_VALUE"""),"G")</f>
        <v>G</v>
      </c>
      <c r="E1737" s="189" t="str">
        <f ca="1">IFERROR(__xludf.DUMMYFUNCTION("""COMPUTED_VALUE"""),"F")</f>
        <v>F</v>
      </c>
      <c r="F1737" s="189" t="str">
        <f ca="1">IFERROR(__xludf.DUMMYFUNCTION("""COMPUTED_VALUE"""),"J")</f>
        <v>J</v>
      </c>
      <c r="G1737" s="189">
        <f ca="1">IFERROR(__xludf.DUMMYFUNCTION("""COMPUTED_VALUE"""),6)</f>
        <v>6</v>
      </c>
      <c r="H1737" s="196"/>
      <c r="I1737" s="196"/>
      <c r="J1737" s="196"/>
      <c r="K1737" s="196"/>
      <c r="L1737" s="196" t="str">
        <v/>
      </c>
      <c r="M1737" s="196"/>
    </row>
    <row r="1738" spans="1:13" ht="14.4" x14ac:dyDescent="0.3">
      <c r="A1738" s="189" t="str">
        <f ca="1">IFERROR(__xludf.DUMMYFUNCTION("""COMPUTED_VALUE"""),"SHB")</f>
        <v>SHB</v>
      </c>
      <c r="B1738" s="195" t="str">
        <f ca="1">IFERROR(__xludf.DUMMYFUNCTION("""COMPUTED_VALUE"""),"Campbell Badini")</f>
        <v>Campbell Badini</v>
      </c>
      <c r="C1738" s="189">
        <f ca="1">IFERROR(__xludf.DUMMYFUNCTION("""COMPUTED_VALUE"""),5)</f>
        <v>5</v>
      </c>
      <c r="D1738" s="189" t="str">
        <f ca="1">IFERROR(__xludf.DUMMYFUNCTION("""COMPUTED_VALUE"""),"G")</f>
        <v>G</v>
      </c>
      <c r="E1738" s="189" t="str">
        <f ca="1">IFERROR(__xludf.DUMMYFUNCTION("""COMPUTED_VALUE"""),"F")</f>
        <v>F</v>
      </c>
      <c r="F1738" s="189" t="str">
        <f ca="1">IFERROR(__xludf.DUMMYFUNCTION("""COMPUTED_VALUE"""),"J")</f>
        <v>J</v>
      </c>
      <c r="G1738" s="189">
        <f ca="1">IFERROR(__xludf.DUMMYFUNCTION("""COMPUTED_VALUE"""),6)</f>
        <v>6</v>
      </c>
      <c r="H1738" s="196"/>
      <c r="I1738" s="196"/>
      <c r="J1738" s="196"/>
      <c r="K1738" s="196"/>
      <c r="L1738" s="196" t="str">
        <v/>
      </c>
      <c r="M1738" s="196"/>
    </row>
    <row r="1739" spans="1:13" ht="14.4" x14ac:dyDescent="0.3">
      <c r="A1739" s="189" t="str">
        <f ca="1">IFERROR(__xludf.DUMMYFUNCTION("""COMPUTED_VALUE"""),"SHB")</f>
        <v>SHB</v>
      </c>
      <c r="B1739" s="195" t="str">
        <f ca="1">IFERROR(__xludf.DUMMYFUNCTION("""COMPUTED_VALUE"""),"Catheryn Good")</f>
        <v>Catheryn Good</v>
      </c>
      <c r="C1739" s="189">
        <f ca="1">IFERROR(__xludf.DUMMYFUNCTION("""COMPUTED_VALUE"""),9)</f>
        <v>9</v>
      </c>
      <c r="D1739" s="189" t="str">
        <f ca="1">IFERROR(__xludf.DUMMYFUNCTION("""COMPUTED_VALUE"""),"G")</f>
        <v>G</v>
      </c>
      <c r="E1739" s="189" t="str">
        <f ca="1">IFERROR(__xludf.DUMMYFUNCTION("""COMPUTED_VALUE"""),"F")</f>
        <v>F</v>
      </c>
      <c r="F1739" s="189" t="str">
        <f ca="1">IFERROR(__xludf.DUMMYFUNCTION("""COMPUTED_VALUE"""),"J")</f>
        <v>J</v>
      </c>
      <c r="G1739" s="189">
        <f ca="1">IFERROR(__xludf.DUMMYFUNCTION("""COMPUTED_VALUE"""),6)</f>
        <v>6</v>
      </c>
      <c r="H1739" s="196" t="s">
        <v>721</v>
      </c>
      <c r="I1739" s="196"/>
      <c r="J1739" s="196" t="s">
        <v>64</v>
      </c>
      <c r="K1739" s="196"/>
      <c r="L1739" s="196" t="str">
        <v xml:space="preserve"> -62.85</v>
      </c>
      <c r="M1739" s="196"/>
    </row>
    <row r="1740" spans="1:13" ht="14.4" x14ac:dyDescent="0.3">
      <c r="A1740" s="189" t="str">
        <f ca="1">IFERROR(__xludf.DUMMYFUNCTION("""COMPUTED_VALUE"""),"SHB")</f>
        <v>SHB</v>
      </c>
      <c r="B1740" s="195" t="str">
        <f ca="1">IFERROR(__xludf.DUMMYFUNCTION("""COMPUTED_VALUE"""),"Emma Radich")</f>
        <v>Emma Radich</v>
      </c>
      <c r="C1740" s="189">
        <f ca="1">IFERROR(__xludf.DUMMYFUNCTION("""COMPUTED_VALUE"""),10)</f>
        <v>10</v>
      </c>
      <c r="D1740" s="189" t="str">
        <f ca="1">IFERROR(__xludf.DUMMYFUNCTION("""COMPUTED_VALUE"""),"G")</f>
        <v>G</v>
      </c>
      <c r="E1740" s="189" t="str">
        <f ca="1">IFERROR(__xludf.DUMMYFUNCTION("""COMPUTED_VALUE"""),"F")</f>
        <v>F</v>
      </c>
      <c r="F1740" s="189" t="str">
        <f ca="1">IFERROR(__xludf.DUMMYFUNCTION("""COMPUTED_VALUE"""),"J")</f>
        <v>J</v>
      </c>
      <c r="G1740" s="189">
        <f ca="1">IFERROR(__xludf.DUMMYFUNCTION("""COMPUTED_VALUE"""),6)</f>
        <v>6</v>
      </c>
      <c r="H1740" s="196"/>
      <c r="I1740" s="196"/>
      <c r="J1740" s="196"/>
      <c r="K1740" s="196"/>
      <c r="L1740" s="196" t="str">
        <v/>
      </c>
      <c r="M1740" s="196"/>
    </row>
    <row r="1741" spans="1:13" ht="14.4" x14ac:dyDescent="0.3">
      <c r="A1741" s="189" t="str">
        <f ca="1">IFERROR(__xludf.DUMMYFUNCTION("""COMPUTED_VALUE"""),"SHB")</f>
        <v>SHB</v>
      </c>
      <c r="B1741" s="195" t="str">
        <f ca="1">IFERROR(__xludf.DUMMYFUNCTION("""COMPUTED_VALUE"""),"Florence Lodico")</f>
        <v>Florence Lodico</v>
      </c>
      <c r="C1741" s="189">
        <f ca="1">IFERROR(__xludf.DUMMYFUNCTION("""COMPUTED_VALUE"""),10)</f>
        <v>10</v>
      </c>
      <c r="D1741" s="189" t="str">
        <f ca="1">IFERROR(__xludf.DUMMYFUNCTION("""COMPUTED_VALUE"""),"G")</f>
        <v>G</v>
      </c>
      <c r="E1741" s="189" t="str">
        <f ca="1">IFERROR(__xludf.DUMMYFUNCTION("""COMPUTED_VALUE"""),"F")</f>
        <v>F</v>
      </c>
      <c r="F1741" s="189" t="str">
        <f ca="1">IFERROR(__xludf.DUMMYFUNCTION("""COMPUTED_VALUE"""),"J")</f>
        <v>J</v>
      </c>
      <c r="G1741" s="189">
        <f ca="1">IFERROR(__xludf.DUMMYFUNCTION("""COMPUTED_VALUE"""),6)</f>
        <v>6</v>
      </c>
      <c r="H1741" s="196" t="s">
        <v>348</v>
      </c>
      <c r="I1741" s="196"/>
      <c r="J1741" s="196" t="s">
        <v>29</v>
      </c>
      <c r="K1741" s="196"/>
      <c r="L1741" s="196" t="str">
        <v xml:space="preserve"> 40.30</v>
      </c>
      <c r="M1741" s="196"/>
    </row>
    <row r="1742" spans="1:13" ht="14.4" x14ac:dyDescent="0.3">
      <c r="A1742" s="189" t="str">
        <f ca="1">IFERROR(__xludf.DUMMYFUNCTION("""COMPUTED_VALUE"""),"SHB")</f>
        <v>SHB</v>
      </c>
      <c r="B1742" s="195" t="str">
        <f ca="1">IFERROR(__xludf.DUMMYFUNCTION("""COMPUTED_VALUE"""),"Madeleine Mitchell")</f>
        <v>Madeleine Mitchell</v>
      </c>
      <c r="C1742" s="189">
        <f ca="1">IFERROR(__xludf.DUMMYFUNCTION("""COMPUTED_VALUE"""),4)</f>
        <v>4</v>
      </c>
      <c r="D1742" s="189" t="str">
        <f ca="1">IFERROR(__xludf.DUMMYFUNCTION("""COMPUTED_VALUE"""),"G")</f>
        <v>G</v>
      </c>
      <c r="E1742" s="189" t="str">
        <f ca="1">IFERROR(__xludf.DUMMYFUNCTION("""COMPUTED_VALUE"""),"F")</f>
        <v>F</v>
      </c>
      <c r="F1742" s="189" t="str">
        <f ca="1">IFERROR(__xludf.DUMMYFUNCTION("""COMPUTED_VALUE"""),"J")</f>
        <v>J</v>
      </c>
      <c r="G1742" s="189">
        <f ca="1">IFERROR(__xludf.DUMMYFUNCTION("""COMPUTED_VALUE"""),6)</f>
        <v>6</v>
      </c>
      <c r="H1742" s="196"/>
      <c r="I1742" s="196"/>
      <c r="J1742" s="196"/>
      <c r="K1742" s="196"/>
      <c r="L1742" s="196" t="str">
        <v/>
      </c>
      <c r="M1742" s="196"/>
    </row>
    <row r="1743" spans="1:13" ht="14.4" x14ac:dyDescent="0.3">
      <c r="A1743" s="189" t="str">
        <f ca="1">IFERROR(__xludf.DUMMYFUNCTION("""COMPUTED_VALUE"""),"SHB")</f>
        <v>SHB</v>
      </c>
      <c r="B1743" s="195" t="str">
        <f ca="1">IFERROR(__xludf.DUMMYFUNCTION("""COMPUTED_VALUE"""),"Maggie Cate")</f>
        <v>Maggie Cate</v>
      </c>
      <c r="C1743" s="189">
        <f ca="1">IFERROR(__xludf.DUMMYFUNCTION("""COMPUTED_VALUE"""),7)</f>
        <v>7</v>
      </c>
      <c r="D1743" s="189" t="str">
        <f ca="1">IFERROR(__xludf.DUMMYFUNCTION("""COMPUTED_VALUE"""),"G")</f>
        <v>G</v>
      </c>
      <c r="E1743" s="189" t="str">
        <f ca="1">IFERROR(__xludf.DUMMYFUNCTION("""COMPUTED_VALUE"""),"F")</f>
        <v>F</v>
      </c>
      <c r="F1743" s="189" t="str">
        <f ca="1">IFERROR(__xludf.DUMMYFUNCTION("""COMPUTED_VALUE"""),"J")</f>
        <v>J</v>
      </c>
      <c r="G1743" s="189">
        <f ca="1">IFERROR(__xludf.DUMMYFUNCTION("""COMPUTED_VALUE"""),6)</f>
        <v>6</v>
      </c>
      <c r="H1743" s="196"/>
      <c r="I1743" s="196"/>
      <c r="J1743" s="196"/>
      <c r="K1743" s="196"/>
      <c r="L1743" s="196" t="str">
        <v/>
      </c>
      <c r="M1743" s="196"/>
    </row>
    <row r="1744" spans="1:13" ht="14.4" x14ac:dyDescent="0.3">
      <c r="A1744" s="189" t="str">
        <f ca="1">IFERROR(__xludf.DUMMYFUNCTION("""COMPUTED_VALUE"""),"SHB")</f>
        <v>SHB</v>
      </c>
      <c r="B1744" s="195" t="str">
        <f ca="1">IFERROR(__xludf.DUMMYFUNCTION("""COMPUTED_VALUE"""),"Navya Williams")</f>
        <v>Navya Williams</v>
      </c>
      <c r="C1744" s="189">
        <f ca="1">IFERROR(__xludf.DUMMYFUNCTION("""COMPUTED_VALUE"""),9)</f>
        <v>9</v>
      </c>
      <c r="D1744" s="189" t="str">
        <f ca="1">IFERROR(__xludf.DUMMYFUNCTION("""COMPUTED_VALUE"""),"G")</f>
        <v>G</v>
      </c>
      <c r="E1744" s="189" t="str">
        <f ca="1">IFERROR(__xludf.DUMMYFUNCTION("""COMPUTED_VALUE"""),"F")</f>
        <v>F</v>
      </c>
      <c r="F1744" s="189" t="str">
        <f ca="1">IFERROR(__xludf.DUMMYFUNCTION("""COMPUTED_VALUE"""),"J")</f>
        <v>J</v>
      </c>
      <c r="G1744" s="189">
        <f ca="1">IFERROR(__xludf.DUMMYFUNCTION("""COMPUTED_VALUE"""),6)</f>
        <v>6</v>
      </c>
      <c r="H1744" s="196" t="s">
        <v>722</v>
      </c>
      <c r="I1744" s="196"/>
      <c r="J1744" s="196" t="s">
        <v>29</v>
      </c>
      <c r="K1744" s="196"/>
      <c r="L1744" s="196" t="str">
        <v xml:space="preserve"> 32.15</v>
      </c>
      <c r="M1744" s="196"/>
    </row>
    <row r="1745" spans="1:13" ht="14.4" x14ac:dyDescent="0.3">
      <c r="A1745" s="189" t="str">
        <f ca="1">IFERROR(__xludf.DUMMYFUNCTION("""COMPUTED_VALUE"""),"SHB")</f>
        <v>SHB</v>
      </c>
      <c r="B1745" s="195" t="str">
        <f ca="1">IFERROR(__xludf.DUMMYFUNCTION("""COMPUTED_VALUE"""),"Quinn Brown")</f>
        <v>Quinn Brown</v>
      </c>
      <c r="C1745" s="189">
        <f ca="1">IFERROR(__xludf.DUMMYFUNCTION("""COMPUTED_VALUE"""),10)</f>
        <v>10</v>
      </c>
      <c r="D1745" s="189" t="str">
        <f ca="1">IFERROR(__xludf.DUMMYFUNCTION("""COMPUTED_VALUE"""),"G")</f>
        <v>G</v>
      </c>
      <c r="E1745" s="189" t="str">
        <f ca="1">IFERROR(__xludf.DUMMYFUNCTION("""COMPUTED_VALUE"""),"F")</f>
        <v>F</v>
      </c>
      <c r="F1745" s="189" t="str">
        <f ca="1">IFERROR(__xludf.DUMMYFUNCTION("""COMPUTED_VALUE"""),"J")</f>
        <v>J</v>
      </c>
      <c r="G1745" s="189">
        <f ca="1">IFERROR(__xludf.DUMMYFUNCTION("""COMPUTED_VALUE"""),6)</f>
        <v>6</v>
      </c>
      <c r="H1745" s="196" t="s">
        <v>334</v>
      </c>
      <c r="I1745" s="196"/>
      <c r="J1745" s="196" t="s">
        <v>29</v>
      </c>
      <c r="K1745" s="196"/>
      <c r="L1745" s="196" t="str">
        <v xml:space="preserve"> 43.35</v>
      </c>
      <c r="M1745" s="196"/>
    </row>
    <row r="1746" spans="1:13" ht="14.4" x14ac:dyDescent="0.3">
      <c r="A1746" s="189" t="str">
        <f ca="1">IFERROR(__xludf.DUMMYFUNCTION("""COMPUTED_VALUE"""),"SHB")</f>
        <v>SHB</v>
      </c>
      <c r="B1746" s="195" t="str">
        <f ca="1">IFERROR(__xludf.DUMMYFUNCTION("""COMPUTED_VALUE"""),"Rose Chang")</f>
        <v>Rose Chang</v>
      </c>
      <c r="C1746" s="189">
        <f ca="1">IFERROR(__xludf.DUMMYFUNCTION("""COMPUTED_VALUE"""),9)</f>
        <v>9</v>
      </c>
      <c r="D1746" s="189" t="str">
        <f ca="1">IFERROR(__xludf.DUMMYFUNCTION("""COMPUTED_VALUE"""),"G")</f>
        <v>G</v>
      </c>
      <c r="E1746" s="189" t="str">
        <f ca="1">IFERROR(__xludf.DUMMYFUNCTION("""COMPUTED_VALUE"""),"F")</f>
        <v>F</v>
      </c>
      <c r="F1746" s="189" t="str">
        <f ca="1">IFERROR(__xludf.DUMMYFUNCTION("""COMPUTED_VALUE"""),"J")</f>
        <v>J</v>
      </c>
      <c r="G1746" s="189">
        <f ca="1">IFERROR(__xludf.DUMMYFUNCTION("""COMPUTED_VALUE"""),6)</f>
        <v>6</v>
      </c>
      <c r="H1746" s="196"/>
      <c r="I1746" s="196"/>
      <c r="J1746" s="196"/>
      <c r="K1746" s="196"/>
      <c r="L1746" s="196" t="str">
        <v/>
      </c>
      <c r="M1746" s="196"/>
    </row>
    <row r="1747" spans="1:13" ht="14.4" x14ac:dyDescent="0.3">
      <c r="A1747" s="189" t="str">
        <f ca="1">IFERROR(__xludf.DUMMYFUNCTION("""COMPUTED_VALUE"""),"SHB")</f>
        <v>SHB</v>
      </c>
      <c r="B1747" s="195" t="str">
        <f ca="1">IFERROR(__xludf.DUMMYFUNCTION("""COMPUTED_VALUE"""),"Asher Arnic")</f>
        <v>Asher Arnic</v>
      </c>
      <c r="C1747" s="189">
        <f ca="1">IFERROR(__xludf.DUMMYFUNCTION("""COMPUTED_VALUE"""),9)</f>
        <v>9</v>
      </c>
      <c r="D1747" s="189" t="str">
        <f ca="1">IFERROR(__xludf.DUMMYFUNCTION("""COMPUTED_VALUE"""),"B")</f>
        <v>B</v>
      </c>
      <c r="E1747" s="189" t="str">
        <f ca="1">IFERROR(__xludf.DUMMYFUNCTION("""COMPUTED_VALUE"""),"F")</f>
        <v>F</v>
      </c>
      <c r="F1747" s="189" t="str">
        <f ca="1">IFERROR(__xludf.DUMMYFUNCTION("""COMPUTED_VALUE"""),"J")</f>
        <v>J</v>
      </c>
      <c r="G1747" s="189">
        <f ca="1">IFERROR(__xludf.DUMMYFUNCTION("""COMPUTED_VALUE"""),6)</f>
        <v>6</v>
      </c>
      <c r="H1747" s="196" t="s">
        <v>79</v>
      </c>
      <c r="I1747" s="196"/>
      <c r="J1747" s="196" t="s">
        <v>29</v>
      </c>
      <c r="K1747" s="196"/>
      <c r="L1747" s="196" t="str">
        <v xml:space="preserve"> 34.85</v>
      </c>
      <c r="M1747" s="196"/>
    </row>
    <row r="1748" spans="1:13" ht="14.4" x14ac:dyDescent="0.3">
      <c r="A1748" s="189" t="str">
        <f ca="1">IFERROR(__xludf.DUMMYFUNCTION("""COMPUTED_VALUE"""),"SHB")</f>
        <v>SHB</v>
      </c>
      <c r="B1748" s="195" t="str">
        <f ca="1">IFERROR(__xludf.DUMMYFUNCTION("""COMPUTED_VALUE"""),"Benton Bower")</f>
        <v>Benton Bower</v>
      </c>
      <c r="C1748" s="189">
        <f ca="1">IFERROR(__xludf.DUMMYFUNCTION("""COMPUTED_VALUE"""),8)</f>
        <v>8</v>
      </c>
      <c r="D1748" s="189" t="str">
        <f ca="1">IFERROR(__xludf.DUMMYFUNCTION("""COMPUTED_VALUE"""),"B")</f>
        <v>B</v>
      </c>
      <c r="E1748" s="189" t="str">
        <f ca="1">IFERROR(__xludf.DUMMYFUNCTION("""COMPUTED_VALUE"""),"F")</f>
        <v>F</v>
      </c>
      <c r="F1748" s="189" t="str">
        <f ca="1">IFERROR(__xludf.DUMMYFUNCTION("""COMPUTED_VALUE"""),"J")</f>
        <v>J</v>
      </c>
      <c r="G1748" s="189">
        <f ca="1">IFERROR(__xludf.DUMMYFUNCTION("""COMPUTED_VALUE"""),6)</f>
        <v>6</v>
      </c>
      <c r="H1748" s="196"/>
      <c r="I1748" s="196"/>
      <c r="J1748" s="196"/>
      <c r="K1748" s="196"/>
      <c r="L1748" s="196" t="str">
        <v/>
      </c>
      <c r="M1748" s="196"/>
    </row>
    <row r="1749" spans="1:13" ht="14.4" x14ac:dyDescent="0.3">
      <c r="A1749" s="189" t="str">
        <f ca="1">IFERROR(__xludf.DUMMYFUNCTION("""COMPUTED_VALUE"""),"SHB")</f>
        <v>SHB</v>
      </c>
      <c r="B1749" s="195" t="str">
        <f ca="1">IFERROR(__xludf.DUMMYFUNCTION("""COMPUTED_VALUE"""),"Charlie Cate")</f>
        <v>Charlie Cate</v>
      </c>
      <c r="C1749" s="189">
        <f ca="1">IFERROR(__xludf.DUMMYFUNCTION("""COMPUTED_VALUE"""),8)</f>
        <v>8</v>
      </c>
      <c r="D1749" s="189" t="str">
        <f ca="1">IFERROR(__xludf.DUMMYFUNCTION("""COMPUTED_VALUE"""),"B")</f>
        <v>B</v>
      </c>
      <c r="E1749" s="189" t="str">
        <f ca="1">IFERROR(__xludf.DUMMYFUNCTION("""COMPUTED_VALUE"""),"F")</f>
        <v>F</v>
      </c>
      <c r="F1749" s="189" t="str">
        <f ca="1">IFERROR(__xludf.DUMMYFUNCTION("""COMPUTED_VALUE"""),"J")</f>
        <v>J</v>
      </c>
      <c r="G1749" s="189">
        <f ca="1">IFERROR(__xludf.DUMMYFUNCTION("""COMPUTED_VALUE"""),6)</f>
        <v>6</v>
      </c>
      <c r="H1749" s="196"/>
      <c r="I1749" s="196"/>
      <c r="J1749" s="196"/>
      <c r="K1749" s="196"/>
      <c r="L1749" s="196" t="str">
        <v/>
      </c>
      <c r="M1749" s="196"/>
    </row>
    <row r="1750" spans="1:13" ht="14.4" x14ac:dyDescent="0.3">
      <c r="A1750" s="189" t="str">
        <f ca="1">IFERROR(__xludf.DUMMYFUNCTION("""COMPUTED_VALUE"""),"SHB")</f>
        <v>SHB</v>
      </c>
      <c r="B1750" s="195" t="str">
        <f ca="1">IFERROR(__xludf.DUMMYFUNCTION("""COMPUTED_VALUE"""),"Connor Long")</f>
        <v>Connor Long</v>
      </c>
      <c r="C1750" s="189">
        <f ca="1">IFERROR(__xludf.DUMMYFUNCTION("""COMPUTED_VALUE"""),10)</f>
        <v>10</v>
      </c>
      <c r="D1750" s="189" t="str">
        <f ca="1">IFERROR(__xludf.DUMMYFUNCTION("""COMPUTED_VALUE"""),"B")</f>
        <v>B</v>
      </c>
      <c r="E1750" s="189" t="str">
        <f ca="1">IFERROR(__xludf.DUMMYFUNCTION("""COMPUTED_VALUE"""),"F")</f>
        <v>F</v>
      </c>
      <c r="F1750" s="189" t="str">
        <f ca="1">IFERROR(__xludf.DUMMYFUNCTION("""COMPUTED_VALUE"""),"J")</f>
        <v>J</v>
      </c>
      <c r="G1750" s="189">
        <f ca="1">IFERROR(__xludf.DUMMYFUNCTION("""COMPUTED_VALUE"""),6)</f>
        <v>6</v>
      </c>
      <c r="H1750" s="196"/>
      <c r="I1750" s="196"/>
      <c r="J1750" s="196"/>
      <c r="K1750" s="196"/>
      <c r="L1750" s="196" t="str">
        <v/>
      </c>
      <c r="M1750" s="196"/>
    </row>
    <row r="1751" spans="1:13" ht="14.4" x14ac:dyDescent="0.3">
      <c r="A1751" s="189" t="str">
        <f ca="1">IFERROR(__xludf.DUMMYFUNCTION("""COMPUTED_VALUE"""),"SHB")</f>
        <v>SHB</v>
      </c>
      <c r="B1751" s="195" t="str">
        <f ca="1">IFERROR(__xludf.DUMMYFUNCTION("""COMPUTED_VALUE"""),"Daniel Nelson")</f>
        <v>Daniel Nelson</v>
      </c>
      <c r="C1751" s="189">
        <f ca="1">IFERROR(__xludf.DUMMYFUNCTION("""COMPUTED_VALUE"""),6)</f>
        <v>6</v>
      </c>
      <c r="D1751" s="189" t="str">
        <f ca="1">IFERROR(__xludf.DUMMYFUNCTION("""COMPUTED_VALUE"""),"B")</f>
        <v>B</v>
      </c>
      <c r="E1751" s="189" t="str">
        <f ca="1">IFERROR(__xludf.DUMMYFUNCTION("""COMPUTED_VALUE"""),"F")</f>
        <v>F</v>
      </c>
      <c r="F1751" s="189" t="str">
        <f ca="1">IFERROR(__xludf.DUMMYFUNCTION("""COMPUTED_VALUE"""),"J")</f>
        <v>J</v>
      </c>
      <c r="G1751" s="189">
        <f ca="1">IFERROR(__xludf.DUMMYFUNCTION("""COMPUTED_VALUE"""),6)</f>
        <v>6</v>
      </c>
      <c r="H1751" s="196"/>
      <c r="I1751" s="196"/>
      <c r="J1751" s="196"/>
      <c r="K1751" s="196"/>
      <c r="L1751" s="196" t="str">
        <v/>
      </c>
      <c r="M1751" s="196"/>
    </row>
    <row r="1752" spans="1:13" ht="14.4" x14ac:dyDescent="0.3">
      <c r="A1752" s="189" t="str">
        <f ca="1">IFERROR(__xludf.DUMMYFUNCTION("""COMPUTED_VALUE"""),"SHB")</f>
        <v>SHB</v>
      </c>
      <c r="B1752" s="195" t="str">
        <f ca="1">IFERROR(__xludf.DUMMYFUNCTION("""COMPUTED_VALUE"""),"Dylan Radich")</f>
        <v>Dylan Radich</v>
      </c>
      <c r="C1752" s="189">
        <f ca="1">IFERROR(__xludf.DUMMYFUNCTION("""COMPUTED_VALUE"""),7)</f>
        <v>7</v>
      </c>
      <c r="D1752" s="189" t="str">
        <f ca="1">IFERROR(__xludf.DUMMYFUNCTION("""COMPUTED_VALUE"""),"B")</f>
        <v>B</v>
      </c>
      <c r="E1752" s="189" t="str">
        <f ca="1">IFERROR(__xludf.DUMMYFUNCTION("""COMPUTED_VALUE"""),"F")</f>
        <v>F</v>
      </c>
      <c r="F1752" s="189" t="str">
        <f ca="1">IFERROR(__xludf.DUMMYFUNCTION("""COMPUTED_VALUE"""),"J")</f>
        <v>J</v>
      </c>
      <c r="G1752" s="189">
        <f ca="1">IFERROR(__xludf.DUMMYFUNCTION("""COMPUTED_VALUE"""),6)</f>
        <v>6</v>
      </c>
      <c r="H1752" s="196"/>
      <c r="I1752" s="196"/>
      <c r="J1752" s="196"/>
      <c r="K1752" s="196"/>
      <c r="L1752" s="196" t="str">
        <v/>
      </c>
      <c r="M1752" s="196"/>
    </row>
    <row r="1753" spans="1:13" ht="14.4" x14ac:dyDescent="0.3">
      <c r="A1753" s="189" t="str">
        <f ca="1">IFERROR(__xludf.DUMMYFUNCTION("""COMPUTED_VALUE"""),"SHB")</f>
        <v>SHB</v>
      </c>
      <c r="B1753" s="195" t="str">
        <f ca="1">IFERROR(__xludf.DUMMYFUNCTION("""COMPUTED_VALUE"""),"Gara Kashakhi")</f>
        <v>Gara Kashakhi</v>
      </c>
      <c r="C1753" s="189">
        <f ca="1">IFERROR(__xludf.DUMMYFUNCTION("""COMPUTED_VALUE"""),7)</f>
        <v>7</v>
      </c>
      <c r="D1753" s="189" t="str">
        <f ca="1">IFERROR(__xludf.DUMMYFUNCTION("""COMPUTED_VALUE"""),"B")</f>
        <v>B</v>
      </c>
      <c r="E1753" s="189" t="str">
        <f ca="1">IFERROR(__xludf.DUMMYFUNCTION("""COMPUTED_VALUE"""),"F")</f>
        <v>F</v>
      </c>
      <c r="F1753" s="189" t="str">
        <f ca="1">IFERROR(__xludf.DUMMYFUNCTION("""COMPUTED_VALUE"""),"J")</f>
        <v>J</v>
      </c>
      <c r="G1753" s="189">
        <f ca="1">IFERROR(__xludf.DUMMYFUNCTION("""COMPUTED_VALUE"""),6)</f>
        <v>6</v>
      </c>
      <c r="H1753" s="196"/>
      <c r="I1753" s="196"/>
      <c r="J1753" s="196"/>
      <c r="K1753" s="196"/>
      <c r="L1753" s="196" t="str">
        <v/>
      </c>
      <c r="M1753" s="196"/>
    </row>
    <row r="1754" spans="1:13" ht="14.4" x14ac:dyDescent="0.3">
      <c r="A1754" s="189" t="str">
        <f ca="1">IFERROR(__xludf.DUMMYFUNCTION("""COMPUTED_VALUE"""),"SHB")</f>
        <v>SHB</v>
      </c>
      <c r="B1754" s="195" t="str">
        <f ca="1">IFERROR(__xludf.DUMMYFUNCTION("""COMPUTED_VALUE"""),"Hans Imer")</f>
        <v>Hans Imer</v>
      </c>
      <c r="C1754" s="189">
        <f ca="1">IFERROR(__xludf.DUMMYFUNCTION("""COMPUTED_VALUE"""),8)</f>
        <v>8</v>
      </c>
      <c r="D1754" s="189" t="str">
        <f ca="1">IFERROR(__xludf.DUMMYFUNCTION("""COMPUTED_VALUE"""),"B")</f>
        <v>B</v>
      </c>
      <c r="E1754" s="189" t="str">
        <f ca="1">IFERROR(__xludf.DUMMYFUNCTION("""COMPUTED_VALUE"""),"F")</f>
        <v>F</v>
      </c>
      <c r="F1754" s="189" t="str">
        <f ca="1">IFERROR(__xludf.DUMMYFUNCTION("""COMPUTED_VALUE"""),"J")</f>
        <v>J</v>
      </c>
      <c r="G1754" s="189">
        <f ca="1">IFERROR(__xludf.DUMMYFUNCTION("""COMPUTED_VALUE"""),6)</f>
        <v>6</v>
      </c>
      <c r="H1754" s="196"/>
      <c r="I1754" s="196"/>
      <c r="J1754" s="196"/>
      <c r="K1754" s="196"/>
      <c r="L1754" s="196" t="str">
        <v/>
      </c>
      <c r="M1754" s="196"/>
    </row>
    <row r="1755" spans="1:13" ht="14.4" x14ac:dyDescent="0.3">
      <c r="A1755" s="189" t="str">
        <f ca="1">IFERROR(__xludf.DUMMYFUNCTION("""COMPUTED_VALUE"""),"SHB")</f>
        <v>SHB</v>
      </c>
      <c r="B1755" s="195" t="str">
        <f ca="1">IFERROR(__xludf.DUMMYFUNCTION("""COMPUTED_VALUE"""),"Jacob Chodos")</f>
        <v>Jacob Chodos</v>
      </c>
      <c r="C1755" s="189">
        <f ca="1">IFERROR(__xludf.DUMMYFUNCTION("""COMPUTED_VALUE"""),10)</f>
        <v>10</v>
      </c>
      <c r="D1755" s="189" t="str">
        <f ca="1">IFERROR(__xludf.DUMMYFUNCTION("""COMPUTED_VALUE"""),"B")</f>
        <v>B</v>
      </c>
      <c r="E1755" s="189" t="str">
        <f ca="1">IFERROR(__xludf.DUMMYFUNCTION("""COMPUTED_VALUE"""),"F")</f>
        <v>F</v>
      </c>
      <c r="F1755" s="189" t="str">
        <f ca="1">IFERROR(__xludf.DUMMYFUNCTION("""COMPUTED_VALUE"""),"J")</f>
        <v>J</v>
      </c>
      <c r="G1755" s="189">
        <f ca="1">IFERROR(__xludf.DUMMYFUNCTION("""COMPUTED_VALUE"""),6)</f>
        <v>6</v>
      </c>
      <c r="H1755" s="196" t="s">
        <v>723</v>
      </c>
      <c r="I1755" s="196"/>
      <c r="J1755" s="196" t="s">
        <v>29</v>
      </c>
      <c r="K1755" s="196"/>
      <c r="L1755" s="196" t="str">
        <v xml:space="preserve"> 22.40</v>
      </c>
      <c r="M1755" s="196"/>
    </row>
    <row r="1756" spans="1:13" ht="14.4" x14ac:dyDescent="0.3">
      <c r="A1756" s="189" t="str">
        <f ca="1">IFERROR(__xludf.DUMMYFUNCTION("""COMPUTED_VALUE"""),"SHB")</f>
        <v>SHB</v>
      </c>
      <c r="B1756" s="195" t="str">
        <f ca="1">IFERROR(__xludf.DUMMYFUNCTION("""COMPUTED_VALUE"""),"Julian Brown")</f>
        <v>Julian Brown</v>
      </c>
      <c r="C1756" s="189">
        <f ca="1">IFERROR(__xludf.DUMMYFUNCTION("""COMPUTED_VALUE"""),6)</f>
        <v>6</v>
      </c>
      <c r="D1756" s="189" t="str">
        <f ca="1">IFERROR(__xludf.DUMMYFUNCTION("""COMPUTED_VALUE"""),"B")</f>
        <v>B</v>
      </c>
      <c r="E1756" s="189" t="str">
        <f ca="1">IFERROR(__xludf.DUMMYFUNCTION("""COMPUTED_VALUE"""),"F")</f>
        <v>F</v>
      </c>
      <c r="F1756" s="189" t="str">
        <f ca="1">IFERROR(__xludf.DUMMYFUNCTION("""COMPUTED_VALUE"""),"J")</f>
        <v>J</v>
      </c>
      <c r="G1756" s="189">
        <f ca="1">IFERROR(__xludf.DUMMYFUNCTION("""COMPUTED_VALUE"""),6)</f>
        <v>6</v>
      </c>
      <c r="H1756" s="196"/>
      <c r="I1756" s="196"/>
      <c r="J1756" s="196"/>
      <c r="K1756" s="196"/>
      <c r="L1756" s="196" t="str">
        <v/>
      </c>
      <c r="M1756" s="196"/>
    </row>
    <row r="1757" spans="1:13" ht="14.4" x14ac:dyDescent="0.3">
      <c r="A1757" s="189" t="str">
        <f ca="1">IFERROR(__xludf.DUMMYFUNCTION("""COMPUTED_VALUE"""),"SHB")</f>
        <v>SHB</v>
      </c>
      <c r="B1757" s="195" t="str">
        <f ca="1">IFERROR(__xludf.DUMMYFUNCTION("""COMPUTED_VALUE"""),"Luke Ritter")</f>
        <v>Luke Ritter</v>
      </c>
      <c r="C1757" s="189">
        <f ca="1">IFERROR(__xludf.DUMMYFUNCTION("""COMPUTED_VALUE"""),10)</f>
        <v>10</v>
      </c>
      <c r="D1757" s="189" t="str">
        <f ca="1">IFERROR(__xludf.DUMMYFUNCTION("""COMPUTED_VALUE"""),"B")</f>
        <v>B</v>
      </c>
      <c r="E1757" s="189" t="str">
        <f ca="1">IFERROR(__xludf.DUMMYFUNCTION("""COMPUTED_VALUE"""),"F")</f>
        <v>F</v>
      </c>
      <c r="F1757" s="189" t="str">
        <f ca="1">IFERROR(__xludf.DUMMYFUNCTION("""COMPUTED_VALUE"""),"J")</f>
        <v>J</v>
      </c>
      <c r="G1757" s="189">
        <f ca="1">IFERROR(__xludf.DUMMYFUNCTION("""COMPUTED_VALUE"""),6)</f>
        <v>6</v>
      </c>
      <c r="H1757" s="196"/>
      <c r="I1757" s="196"/>
      <c r="J1757" s="196"/>
      <c r="K1757" s="196"/>
      <c r="L1757" s="196" t="str">
        <v/>
      </c>
      <c r="M1757" s="196"/>
    </row>
    <row r="1758" spans="1:13" ht="14.4" x14ac:dyDescent="0.3">
      <c r="A1758" s="189" t="str">
        <f ca="1">IFERROR(__xludf.DUMMYFUNCTION("""COMPUTED_VALUE"""),"SHB")</f>
        <v>SHB</v>
      </c>
      <c r="B1758" s="195" t="str">
        <f ca="1">IFERROR(__xludf.DUMMYFUNCTION("""COMPUTED_VALUE"""),"Luke Swanson")</f>
        <v>Luke Swanson</v>
      </c>
      <c r="C1758" s="189">
        <f ca="1">IFERROR(__xludf.DUMMYFUNCTION("""COMPUTED_VALUE"""),7)</f>
        <v>7</v>
      </c>
      <c r="D1758" s="189" t="str">
        <f ca="1">IFERROR(__xludf.DUMMYFUNCTION("""COMPUTED_VALUE"""),"B")</f>
        <v>B</v>
      </c>
      <c r="E1758" s="189" t="str">
        <f ca="1">IFERROR(__xludf.DUMMYFUNCTION("""COMPUTED_VALUE"""),"F")</f>
        <v>F</v>
      </c>
      <c r="F1758" s="189" t="str">
        <f ca="1">IFERROR(__xludf.DUMMYFUNCTION("""COMPUTED_VALUE"""),"J")</f>
        <v>J</v>
      </c>
      <c r="G1758" s="189">
        <f ca="1">IFERROR(__xludf.DUMMYFUNCTION("""COMPUTED_VALUE"""),6)</f>
        <v>6</v>
      </c>
      <c r="H1758" s="196"/>
      <c r="I1758" s="196"/>
      <c r="J1758" s="196"/>
      <c r="K1758" s="196"/>
      <c r="L1758" s="196" t="str">
        <v/>
      </c>
      <c r="M1758" s="196"/>
    </row>
    <row r="1759" spans="1:13" ht="14.4" x14ac:dyDescent="0.3">
      <c r="A1759" s="189" t="str">
        <f ca="1">IFERROR(__xludf.DUMMYFUNCTION("""COMPUTED_VALUE"""),"SHB")</f>
        <v>SHB</v>
      </c>
      <c r="B1759" s="195" t="str">
        <f ca="1">IFERROR(__xludf.DUMMYFUNCTION("""COMPUTED_VALUE"""),"Luke Taggert")</f>
        <v>Luke Taggert</v>
      </c>
      <c r="C1759" s="189">
        <f ca="1">IFERROR(__xludf.DUMMYFUNCTION("""COMPUTED_VALUE"""),9)</f>
        <v>9</v>
      </c>
      <c r="D1759" s="189" t="str">
        <f ca="1">IFERROR(__xludf.DUMMYFUNCTION("""COMPUTED_VALUE"""),"B")</f>
        <v>B</v>
      </c>
      <c r="E1759" s="189" t="str">
        <f ca="1">IFERROR(__xludf.DUMMYFUNCTION("""COMPUTED_VALUE"""),"F")</f>
        <v>F</v>
      </c>
      <c r="F1759" s="189" t="str">
        <f ca="1">IFERROR(__xludf.DUMMYFUNCTION("""COMPUTED_VALUE"""),"J")</f>
        <v>J</v>
      </c>
      <c r="G1759" s="189">
        <f ca="1">IFERROR(__xludf.DUMMYFUNCTION("""COMPUTED_VALUE"""),6)</f>
        <v>6</v>
      </c>
      <c r="H1759" s="196"/>
      <c r="I1759" s="196"/>
      <c r="J1759" s="196"/>
      <c r="K1759" s="196"/>
      <c r="L1759" s="196" t="str">
        <v/>
      </c>
      <c r="M1759" s="196"/>
    </row>
    <row r="1760" spans="1:13" ht="14.4" x14ac:dyDescent="0.3">
      <c r="A1760" s="189" t="str">
        <f ca="1">IFERROR(__xludf.DUMMYFUNCTION("""COMPUTED_VALUE"""),"SHB")</f>
        <v>SHB</v>
      </c>
      <c r="B1760" s="195" t="str">
        <f ca="1">IFERROR(__xludf.DUMMYFUNCTION("""COMPUTED_VALUE"""),"Mathias Olesky-Fizyta")</f>
        <v>Mathias Olesky-Fizyta</v>
      </c>
      <c r="C1760" s="189">
        <f ca="1">IFERROR(__xludf.DUMMYFUNCTION("""COMPUTED_VALUE"""),8)</f>
        <v>8</v>
      </c>
      <c r="D1760" s="189" t="str">
        <f ca="1">IFERROR(__xludf.DUMMYFUNCTION("""COMPUTED_VALUE"""),"B")</f>
        <v>B</v>
      </c>
      <c r="E1760" s="189" t="str">
        <f ca="1">IFERROR(__xludf.DUMMYFUNCTION("""COMPUTED_VALUE"""),"F")</f>
        <v>F</v>
      </c>
      <c r="F1760" s="189" t="str">
        <f ca="1">IFERROR(__xludf.DUMMYFUNCTION("""COMPUTED_VALUE"""),"J")</f>
        <v>J</v>
      </c>
      <c r="G1760" s="189">
        <f ca="1">IFERROR(__xludf.DUMMYFUNCTION("""COMPUTED_VALUE"""),6)</f>
        <v>6</v>
      </c>
      <c r="H1760" s="196"/>
      <c r="I1760" s="196"/>
      <c r="J1760" s="196"/>
      <c r="K1760" s="196"/>
      <c r="L1760" s="196" t="str">
        <v/>
      </c>
      <c r="M1760" s="196"/>
    </row>
    <row r="1761" spans="1:13" ht="14.4" x14ac:dyDescent="0.3">
      <c r="A1761" s="189" t="str">
        <f ca="1">IFERROR(__xludf.DUMMYFUNCTION("""COMPUTED_VALUE"""),"SHB")</f>
        <v>SHB</v>
      </c>
      <c r="B1761" s="195" t="str">
        <f ca="1">IFERROR(__xludf.DUMMYFUNCTION("""COMPUTED_VALUE"""),"Noah Natnael")</f>
        <v>Noah Natnael</v>
      </c>
      <c r="C1761" s="189">
        <f ca="1">IFERROR(__xludf.DUMMYFUNCTION("""COMPUTED_VALUE"""),7)</f>
        <v>7</v>
      </c>
      <c r="D1761" s="189" t="str">
        <f ca="1">IFERROR(__xludf.DUMMYFUNCTION("""COMPUTED_VALUE"""),"B")</f>
        <v>B</v>
      </c>
      <c r="E1761" s="189" t="str">
        <f ca="1">IFERROR(__xludf.DUMMYFUNCTION("""COMPUTED_VALUE"""),"F")</f>
        <v>F</v>
      </c>
      <c r="F1761" s="189" t="str">
        <f ca="1">IFERROR(__xludf.DUMMYFUNCTION("""COMPUTED_VALUE"""),"J")</f>
        <v>J</v>
      </c>
      <c r="G1761" s="189">
        <f ca="1">IFERROR(__xludf.DUMMYFUNCTION("""COMPUTED_VALUE"""),6)</f>
        <v>6</v>
      </c>
      <c r="H1761" s="196"/>
      <c r="I1761" s="196"/>
      <c r="J1761" s="196"/>
      <c r="K1761" s="196"/>
      <c r="L1761" s="196" t="str">
        <v/>
      </c>
      <c r="M1761" s="196"/>
    </row>
    <row r="1762" spans="1:13" ht="14.4" x14ac:dyDescent="0.3">
      <c r="A1762" s="189" t="str">
        <f ca="1">IFERROR(__xludf.DUMMYFUNCTION("""COMPUTED_VALUE"""),"SHB")</f>
        <v>SHB</v>
      </c>
      <c r="B1762" s="195" t="str">
        <f ca="1">IFERROR(__xludf.DUMMYFUNCTION("""COMPUTED_VALUE"""),"Otto Imer")</f>
        <v>Otto Imer</v>
      </c>
      <c r="C1762" s="189">
        <f ca="1">IFERROR(__xludf.DUMMYFUNCTION("""COMPUTED_VALUE"""),10)</f>
        <v>10</v>
      </c>
      <c r="D1762" s="189" t="str">
        <f ca="1">IFERROR(__xludf.DUMMYFUNCTION("""COMPUTED_VALUE"""),"B")</f>
        <v>B</v>
      </c>
      <c r="E1762" s="189" t="str">
        <f ca="1">IFERROR(__xludf.DUMMYFUNCTION("""COMPUTED_VALUE"""),"F")</f>
        <v>F</v>
      </c>
      <c r="F1762" s="189" t="str">
        <f ca="1">IFERROR(__xludf.DUMMYFUNCTION("""COMPUTED_VALUE"""),"J")</f>
        <v>J</v>
      </c>
      <c r="G1762" s="189">
        <f ca="1">IFERROR(__xludf.DUMMYFUNCTION("""COMPUTED_VALUE"""),6)</f>
        <v>6</v>
      </c>
      <c r="H1762" s="196"/>
      <c r="I1762" s="196"/>
      <c r="J1762" s="196"/>
      <c r="K1762" s="196"/>
      <c r="L1762" s="196" t="str">
        <v/>
      </c>
      <c r="M1762" s="196"/>
    </row>
    <row r="1763" spans="1:13" ht="14.4" x14ac:dyDescent="0.3">
      <c r="A1763" s="189" t="str">
        <f ca="1">IFERROR(__xludf.DUMMYFUNCTION("""COMPUTED_VALUE"""),"SHB")</f>
        <v>SHB</v>
      </c>
      <c r="B1763" s="195" t="str">
        <f ca="1">IFERROR(__xludf.DUMMYFUNCTION("""COMPUTED_VALUE"""),"P.D. Lips")</f>
        <v>P.D. Lips</v>
      </c>
      <c r="C1763" s="189">
        <f ca="1">IFERROR(__xludf.DUMMYFUNCTION("""COMPUTED_VALUE"""),9)</f>
        <v>9</v>
      </c>
      <c r="D1763" s="189" t="str">
        <f ca="1">IFERROR(__xludf.DUMMYFUNCTION("""COMPUTED_VALUE"""),"B")</f>
        <v>B</v>
      </c>
      <c r="E1763" s="189" t="str">
        <f ca="1">IFERROR(__xludf.DUMMYFUNCTION("""COMPUTED_VALUE"""),"F")</f>
        <v>F</v>
      </c>
      <c r="F1763" s="189" t="str">
        <f ca="1">IFERROR(__xludf.DUMMYFUNCTION("""COMPUTED_VALUE"""),"J")</f>
        <v>J</v>
      </c>
      <c r="G1763" s="189">
        <f ca="1">IFERROR(__xludf.DUMMYFUNCTION("""COMPUTED_VALUE"""),6)</f>
        <v>6</v>
      </c>
      <c r="H1763" s="196" t="s">
        <v>724</v>
      </c>
      <c r="I1763" s="196"/>
      <c r="J1763" s="196" t="s">
        <v>29</v>
      </c>
      <c r="K1763" s="196"/>
      <c r="L1763" s="196" t="str">
        <v xml:space="preserve"> 49.90</v>
      </c>
      <c r="M1763" s="196"/>
    </row>
    <row r="1764" spans="1:13" ht="14.4" x14ac:dyDescent="0.3">
      <c r="A1764" s="189" t="str">
        <f ca="1">IFERROR(__xludf.DUMMYFUNCTION("""COMPUTED_VALUE"""),"SHB")</f>
        <v>SHB</v>
      </c>
      <c r="B1764" s="195" t="str">
        <f ca="1">IFERROR(__xludf.DUMMYFUNCTION("""COMPUTED_VALUE"""),"Ryker Ellis")</f>
        <v>Ryker Ellis</v>
      </c>
      <c r="C1764" s="189">
        <f ca="1">IFERROR(__xludf.DUMMYFUNCTION("""COMPUTED_VALUE"""),9)</f>
        <v>9</v>
      </c>
      <c r="D1764" s="189" t="str">
        <f ca="1">IFERROR(__xludf.DUMMYFUNCTION("""COMPUTED_VALUE"""),"B")</f>
        <v>B</v>
      </c>
      <c r="E1764" s="189" t="str">
        <f ca="1">IFERROR(__xludf.DUMMYFUNCTION("""COMPUTED_VALUE"""),"F")</f>
        <v>F</v>
      </c>
      <c r="F1764" s="189" t="str">
        <f ca="1">IFERROR(__xludf.DUMMYFUNCTION("""COMPUTED_VALUE"""),"J")</f>
        <v>J</v>
      </c>
      <c r="G1764" s="189">
        <f ca="1">IFERROR(__xludf.DUMMYFUNCTION("""COMPUTED_VALUE"""),6)</f>
        <v>6</v>
      </c>
      <c r="H1764" s="196"/>
      <c r="I1764" s="196"/>
      <c r="J1764" s="196"/>
      <c r="K1764" s="196"/>
      <c r="L1764" s="196" t="str">
        <v/>
      </c>
      <c r="M1764" s="196"/>
    </row>
    <row r="1765" spans="1:13" ht="14.4" x14ac:dyDescent="0.3">
      <c r="A1765" s="189" t="str">
        <f ca="1">IFERROR(__xludf.DUMMYFUNCTION("""COMPUTED_VALUE"""),"SHB")</f>
        <v>SHB</v>
      </c>
      <c r="B1765" s="195" t="str">
        <f ca="1">IFERROR(__xludf.DUMMYFUNCTION("""COMPUTED_VALUE"""),"Tom Ritter")</f>
        <v>Tom Ritter</v>
      </c>
      <c r="C1765" s="189">
        <f ca="1">IFERROR(__xludf.DUMMYFUNCTION("""COMPUTED_VALUE"""),9)</f>
        <v>9</v>
      </c>
      <c r="D1765" s="189" t="str">
        <f ca="1">IFERROR(__xludf.DUMMYFUNCTION("""COMPUTED_VALUE"""),"B")</f>
        <v>B</v>
      </c>
      <c r="E1765" s="189" t="str">
        <f ca="1">IFERROR(__xludf.DUMMYFUNCTION("""COMPUTED_VALUE"""),"F")</f>
        <v>F</v>
      </c>
      <c r="F1765" s="189" t="str">
        <f ca="1">IFERROR(__xludf.DUMMYFUNCTION("""COMPUTED_VALUE"""),"J")</f>
        <v>J</v>
      </c>
      <c r="G1765" s="189">
        <f ca="1">IFERROR(__xludf.DUMMYFUNCTION("""COMPUTED_VALUE"""),6)</f>
        <v>6</v>
      </c>
      <c r="H1765" s="196"/>
      <c r="I1765" s="196"/>
      <c r="J1765" s="196"/>
      <c r="K1765" s="196"/>
      <c r="L1765" s="196" t="str">
        <v/>
      </c>
      <c r="M1765" s="196"/>
    </row>
    <row r="1766" spans="1:13" ht="14.4" x14ac:dyDescent="0.3">
      <c r="A1766" s="189" t="str">
        <f ca="1">IFERROR(__xludf.DUMMYFUNCTION("""COMPUTED_VALUE"""),"SHB")</f>
        <v>SHB</v>
      </c>
      <c r="B1766" s="195" t="str">
        <f ca="1">IFERROR(__xludf.DUMMYFUNCTION("""COMPUTED_VALUE"""),"Tommy Nelson")</f>
        <v>Tommy Nelson</v>
      </c>
      <c r="C1766" s="189">
        <f ca="1">IFERROR(__xludf.DUMMYFUNCTION("""COMPUTED_VALUE"""),4)</f>
        <v>4</v>
      </c>
      <c r="D1766" s="189" t="str">
        <f ca="1">IFERROR(__xludf.DUMMYFUNCTION("""COMPUTED_VALUE"""),"B")</f>
        <v>B</v>
      </c>
      <c r="E1766" s="189" t="str">
        <f ca="1">IFERROR(__xludf.DUMMYFUNCTION("""COMPUTED_VALUE"""),"F")</f>
        <v>F</v>
      </c>
      <c r="F1766" s="189" t="str">
        <f ca="1">IFERROR(__xludf.DUMMYFUNCTION("""COMPUTED_VALUE"""),"J")</f>
        <v>J</v>
      </c>
      <c r="G1766" s="189">
        <f ca="1">IFERROR(__xludf.DUMMYFUNCTION("""COMPUTED_VALUE"""),6)</f>
        <v>6</v>
      </c>
      <c r="H1766" s="196"/>
      <c r="I1766" s="196"/>
      <c r="J1766" s="196"/>
      <c r="K1766" s="196"/>
      <c r="L1766" s="196" t="str">
        <v/>
      </c>
      <c r="M1766" s="196"/>
    </row>
    <row r="1767" spans="1:13" ht="14.4" x14ac:dyDescent="0.3">
      <c r="A1767" s="189" t="str">
        <f ca="1">IFERROR(__xludf.DUMMYFUNCTION("""COMPUTED_VALUE"""),"SHB")</f>
        <v>SHB</v>
      </c>
      <c r="B1767" s="195" t="str">
        <f ca="1">IFERROR(__xludf.DUMMYFUNCTION("""COMPUTED_VALUE"""),"William Smith")</f>
        <v>William Smith</v>
      </c>
      <c r="C1767" s="189">
        <f ca="1">IFERROR(__xludf.DUMMYFUNCTION("""COMPUTED_VALUE"""),7)</f>
        <v>7</v>
      </c>
      <c r="D1767" s="189" t="str">
        <f ca="1">IFERROR(__xludf.DUMMYFUNCTION("""COMPUTED_VALUE"""),"B")</f>
        <v>B</v>
      </c>
      <c r="E1767" s="189" t="str">
        <f ca="1">IFERROR(__xludf.DUMMYFUNCTION("""COMPUTED_VALUE"""),"F")</f>
        <v>F</v>
      </c>
      <c r="F1767" s="189" t="str">
        <f ca="1">IFERROR(__xludf.DUMMYFUNCTION("""COMPUTED_VALUE"""),"J")</f>
        <v>J</v>
      </c>
      <c r="G1767" s="189">
        <f ca="1">IFERROR(__xludf.DUMMYFUNCTION("""COMPUTED_VALUE"""),6)</f>
        <v>6</v>
      </c>
      <c r="H1767" s="196"/>
      <c r="I1767" s="196"/>
      <c r="J1767" s="196"/>
      <c r="K1767" s="196"/>
      <c r="L1767" s="196" t="str">
        <v/>
      </c>
      <c r="M1767" s="196"/>
    </row>
    <row r="1768" spans="1:13" ht="14.4" x14ac:dyDescent="0.3">
      <c r="A1768" s="189" t="str">
        <f ca="1">IFERROR(__xludf.DUMMYFUNCTION("""COMPUTED_VALUE"""),"SHB")</f>
        <v>SHB</v>
      </c>
      <c r="B1768" s="195" t="str">
        <f ca="1">IFERROR(__xludf.DUMMYFUNCTION("""COMPUTED_VALUE"""),"Zack Moorehead")</f>
        <v>Zack Moorehead</v>
      </c>
      <c r="C1768" s="189">
        <f ca="1">IFERROR(__xludf.DUMMYFUNCTION("""COMPUTED_VALUE"""),9)</f>
        <v>9</v>
      </c>
      <c r="D1768" s="189" t="str">
        <f ca="1">IFERROR(__xludf.DUMMYFUNCTION("""COMPUTED_VALUE"""),"B")</f>
        <v>B</v>
      </c>
      <c r="E1768" s="189" t="str">
        <f ca="1">IFERROR(__xludf.DUMMYFUNCTION("""COMPUTED_VALUE"""),"F")</f>
        <v>F</v>
      </c>
      <c r="F1768" s="189" t="str">
        <f ca="1">IFERROR(__xludf.DUMMYFUNCTION("""COMPUTED_VALUE"""),"J")</f>
        <v>J</v>
      </c>
      <c r="G1768" s="189">
        <f ca="1">IFERROR(__xludf.DUMMYFUNCTION("""COMPUTED_VALUE"""),6)</f>
        <v>6</v>
      </c>
      <c r="H1768" s="196"/>
      <c r="I1768" s="196"/>
      <c r="J1768" s="196"/>
      <c r="K1768" s="196"/>
      <c r="L1768" s="196" t="str">
        <v/>
      </c>
      <c r="M1768" s="196"/>
    </row>
    <row r="1769" spans="1:13" ht="14.4" x14ac:dyDescent="0.3">
      <c r="A1769" s="189" t="str">
        <f ca="1">IFERROR(__xludf.DUMMYFUNCTION("""COMPUTED_VALUE"""),"SHB")</f>
        <v>SHB</v>
      </c>
      <c r="B1769" s="195" t="str">
        <f ca="1">IFERROR(__xludf.DUMMYFUNCTION("""COMPUTED_VALUE"""),"Hadley Chang")</f>
        <v>Hadley Chang</v>
      </c>
      <c r="C1769" s="189">
        <f ca="1">IFERROR(__xludf.DUMMYFUNCTION("""COMPUTED_VALUE"""),13)</f>
        <v>13</v>
      </c>
      <c r="D1769" s="189" t="str">
        <f ca="1">IFERROR(__xludf.DUMMYFUNCTION("""COMPUTED_VALUE"""),"G")</f>
        <v>G</v>
      </c>
      <c r="E1769" s="189" t="str">
        <f ca="1">IFERROR(__xludf.DUMMYFUNCTION("""COMPUTED_VALUE"""),"I")</f>
        <v>I</v>
      </c>
      <c r="F1769" s="189" t="str">
        <f ca="1">IFERROR(__xludf.DUMMYFUNCTION("""COMPUTED_VALUE"""),"S")</f>
        <v>S</v>
      </c>
      <c r="G1769" s="189">
        <f ca="1">IFERROR(__xludf.DUMMYFUNCTION("""COMPUTED_VALUE"""),6)</f>
        <v>6</v>
      </c>
      <c r="H1769" s="196"/>
      <c r="I1769" s="196"/>
      <c r="J1769" s="196"/>
      <c r="K1769" s="196"/>
      <c r="L1769" s="196" t="str">
        <v/>
      </c>
      <c r="M1769" s="196"/>
    </row>
    <row r="1770" spans="1:13" ht="14.4" x14ac:dyDescent="0.3">
      <c r="A1770" s="189" t="str">
        <f ca="1">IFERROR(__xludf.DUMMYFUNCTION("""COMPUTED_VALUE"""),"SHB")</f>
        <v>SHB</v>
      </c>
      <c r="B1770" s="195" t="str">
        <f ca="1">IFERROR(__xludf.DUMMYFUNCTION("""COMPUTED_VALUE"""),"Izzy Benone")</f>
        <v>Izzy Benone</v>
      </c>
      <c r="C1770" s="189">
        <f ca="1">IFERROR(__xludf.DUMMYFUNCTION("""COMPUTED_VALUE"""),13)</f>
        <v>13</v>
      </c>
      <c r="D1770" s="189" t="str">
        <f ca="1">IFERROR(__xludf.DUMMYFUNCTION("""COMPUTED_VALUE"""),"G")</f>
        <v>G</v>
      </c>
      <c r="E1770" s="189" t="str">
        <f ca="1">IFERROR(__xludf.DUMMYFUNCTION("""COMPUTED_VALUE"""),"I")</f>
        <v>I</v>
      </c>
      <c r="F1770" s="189" t="str">
        <f ca="1">IFERROR(__xludf.DUMMYFUNCTION("""COMPUTED_VALUE"""),"S")</f>
        <v>S</v>
      </c>
      <c r="G1770" s="189">
        <f ca="1">IFERROR(__xludf.DUMMYFUNCTION("""COMPUTED_VALUE"""),6)</f>
        <v>6</v>
      </c>
      <c r="H1770" s="196"/>
      <c r="I1770" s="196"/>
      <c r="J1770" s="196"/>
      <c r="K1770" s="196"/>
      <c r="L1770" s="196" t="str">
        <v/>
      </c>
      <c r="M1770" s="196"/>
    </row>
    <row r="1771" spans="1:13" ht="14.4" x14ac:dyDescent="0.3">
      <c r="A1771" s="189" t="str">
        <f ca="1">IFERROR(__xludf.DUMMYFUNCTION("""COMPUTED_VALUE"""),"SHB")</f>
        <v>SHB</v>
      </c>
      <c r="B1771" s="195" t="str">
        <f ca="1">IFERROR(__xludf.DUMMYFUNCTION("""COMPUTED_VALUE"""),"ZZ Arnic")</f>
        <v>ZZ Arnic</v>
      </c>
      <c r="C1771" s="189">
        <f ca="1">IFERROR(__xludf.DUMMYFUNCTION("""COMPUTED_VALUE"""),13)</f>
        <v>13</v>
      </c>
      <c r="D1771" s="189" t="str">
        <f ca="1">IFERROR(__xludf.DUMMYFUNCTION("""COMPUTED_VALUE"""),"G")</f>
        <v>G</v>
      </c>
      <c r="E1771" s="189" t="str">
        <f ca="1">IFERROR(__xludf.DUMMYFUNCTION("""COMPUTED_VALUE"""),"I")</f>
        <v>I</v>
      </c>
      <c r="F1771" s="189" t="str">
        <f ca="1">IFERROR(__xludf.DUMMYFUNCTION("""COMPUTED_VALUE"""),"S")</f>
        <v>S</v>
      </c>
      <c r="G1771" s="189">
        <f ca="1">IFERROR(__xludf.DUMMYFUNCTION("""COMPUTED_VALUE"""),6)</f>
        <v>6</v>
      </c>
      <c r="H1771" s="196" t="s">
        <v>725</v>
      </c>
      <c r="I1771" s="196"/>
      <c r="J1771" s="196" t="s">
        <v>29</v>
      </c>
      <c r="K1771" s="196"/>
      <c r="L1771" s="196" t="str">
        <v xml:space="preserve"> 137.55</v>
      </c>
      <c r="M1771" s="196"/>
    </row>
    <row r="1772" spans="1:13" ht="14.4" x14ac:dyDescent="0.3">
      <c r="A1772" s="189" t="str">
        <f ca="1">IFERROR(__xludf.DUMMYFUNCTION("""COMPUTED_VALUE"""),"SHB")</f>
        <v>SHB</v>
      </c>
      <c r="B1772" s="195" t="str">
        <f ca="1">IFERROR(__xludf.DUMMYFUNCTION("""COMPUTED_VALUE"""),"Nick Montgomery")</f>
        <v>Nick Montgomery</v>
      </c>
      <c r="C1772" s="189">
        <f ca="1">IFERROR(__xludf.DUMMYFUNCTION("""COMPUTED_VALUE"""),14)</f>
        <v>14</v>
      </c>
      <c r="D1772" s="189" t="str">
        <f ca="1">IFERROR(__xludf.DUMMYFUNCTION("""COMPUTED_VALUE"""),"B")</f>
        <v>B</v>
      </c>
      <c r="E1772" s="189" t="str">
        <f ca="1">IFERROR(__xludf.DUMMYFUNCTION("""COMPUTED_VALUE"""),"I")</f>
        <v>I</v>
      </c>
      <c r="F1772" s="189" t="str">
        <f ca="1">IFERROR(__xludf.DUMMYFUNCTION("""COMPUTED_VALUE"""),"S")</f>
        <v>S</v>
      </c>
      <c r="G1772" s="189">
        <f ca="1">IFERROR(__xludf.DUMMYFUNCTION("""COMPUTED_VALUE"""),6)</f>
        <v>6</v>
      </c>
      <c r="H1772" s="196"/>
      <c r="I1772" s="196"/>
      <c r="J1772" s="196"/>
      <c r="K1772" s="196"/>
      <c r="L1772" s="196" t="str">
        <v/>
      </c>
      <c r="M1772" s="196"/>
    </row>
    <row r="1773" spans="1:13" ht="14.4" x14ac:dyDescent="0.3">
      <c r="A1773" s="189" t="str">
        <f ca="1">IFERROR(__xludf.DUMMYFUNCTION("""COMPUTED_VALUE"""),"SHB")</f>
        <v>SHB</v>
      </c>
      <c r="B1773" s="195" t="str">
        <f ca="1">IFERROR(__xludf.DUMMYFUNCTION("""COMPUTED_VALUE"""),"Angelina Katsas")</f>
        <v>Angelina Katsas</v>
      </c>
      <c r="C1773" s="189">
        <f ca="1">IFERROR(__xludf.DUMMYFUNCTION("""COMPUTED_VALUE"""),11)</f>
        <v>11</v>
      </c>
      <c r="D1773" s="189" t="str">
        <f ca="1">IFERROR(__xludf.DUMMYFUNCTION("""COMPUTED_VALUE"""),"G")</f>
        <v>G</v>
      </c>
      <c r="E1773" s="189" t="str">
        <f ca="1">IFERROR(__xludf.DUMMYFUNCTION("""COMPUTED_VALUE"""),"J")</f>
        <v>J</v>
      </c>
      <c r="F1773" s="189" t="str">
        <f ca="1">IFERROR(__xludf.DUMMYFUNCTION("""COMPUTED_VALUE"""),"I")</f>
        <v>I</v>
      </c>
      <c r="G1773" s="189">
        <f ca="1">IFERROR(__xludf.DUMMYFUNCTION("""COMPUTED_VALUE"""),6)</f>
        <v>6</v>
      </c>
      <c r="H1773" s="196"/>
      <c r="I1773" s="196"/>
      <c r="J1773" s="196"/>
      <c r="K1773" s="196"/>
      <c r="L1773" s="196" t="str">
        <v/>
      </c>
      <c r="M1773" s="196"/>
    </row>
    <row r="1774" spans="1:13" ht="14.4" x14ac:dyDescent="0.3">
      <c r="A1774" s="189" t="str">
        <f ca="1">IFERROR(__xludf.DUMMYFUNCTION("""COMPUTED_VALUE"""),"SHB")</f>
        <v>SHB</v>
      </c>
      <c r="B1774" s="195" t="str">
        <f ca="1">IFERROR(__xludf.DUMMYFUNCTION("""COMPUTED_VALUE"""),"Brynn White")</f>
        <v>Brynn White</v>
      </c>
      <c r="C1774" s="189">
        <f ca="1">IFERROR(__xludf.DUMMYFUNCTION("""COMPUTED_VALUE"""),11)</f>
        <v>11</v>
      </c>
      <c r="D1774" s="189" t="str">
        <f ca="1">IFERROR(__xludf.DUMMYFUNCTION("""COMPUTED_VALUE"""),"G")</f>
        <v>G</v>
      </c>
      <c r="E1774" s="189" t="str">
        <f ca="1">IFERROR(__xludf.DUMMYFUNCTION("""COMPUTED_VALUE"""),"J")</f>
        <v>J</v>
      </c>
      <c r="F1774" s="189" t="str">
        <f ca="1">IFERROR(__xludf.DUMMYFUNCTION("""COMPUTED_VALUE"""),"I")</f>
        <v>I</v>
      </c>
      <c r="G1774" s="189">
        <f ca="1">IFERROR(__xludf.DUMMYFUNCTION("""COMPUTED_VALUE"""),6)</f>
        <v>6</v>
      </c>
      <c r="H1774" s="196" t="s">
        <v>726</v>
      </c>
      <c r="I1774" s="196"/>
      <c r="J1774" s="196" t="s">
        <v>29</v>
      </c>
      <c r="K1774" s="196"/>
      <c r="L1774" s="196" t="str">
        <v xml:space="preserve"> 37.45</v>
      </c>
      <c r="M1774" s="196"/>
    </row>
    <row r="1775" spans="1:13" ht="14.4" x14ac:dyDescent="0.3">
      <c r="A1775" s="189" t="str">
        <f ca="1">IFERROR(__xludf.DUMMYFUNCTION("""COMPUTED_VALUE"""),"SHB")</f>
        <v>SHB</v>
      </c>
      <c r="B1775" s="195" t="str">
        <f ca="1">IFERROR(__xludf.DUMMYFUNCTION("""COMPUTED_VALUE"""),"Grace Rose")</f>
        <v>Grace Rose</v>
      </c>
      <c r="C1775" s="189">
        <f ca="1">IFERROR(__xludf.DUMMYFUNCTION("""COMPUTED_VALUE"""),12)</f>
        <v>12</v>
      </c>
      <c r="D1775" s="189" t="str">
        <f ca="1">IFERROR(__xludf.DUMMYFUNCTION("""COMPUTED_VALUE"""),"G")</f>
        <v>G</v>
      </c>
      <c r="E1775" s="189" t="str">
        <f ca="1">IFERROR(__xludf.DUMMYFUNCTION("""COMPUTED_VALUE"""),"J")</f>
        <v>J</v>
      </c>
      <c r="F1775" s="189" t="str">
        <f ca="1">IFERROR(__xludf.DUMMYFUNCTION("""COMPUTED_VALUE"""),"I")</f>
        <v>I</v>
      </c>
      <c r="G1775" s="189">
        <f ca="1">IFERROR(__xludf.DUMMYFUNCTION("""COMPUTED_VALUE"""),6)</f>
        <v>6</v>
      </c>
      <c r="H1775" s="196" t="s">
        <v>727</v>
      </c>
      <c r="I1775" s="196"/>
      <c r="J1775" s="196" t="s">
        <v>29</v>
      </c>
      <c r="K1775" s="196"/>
      <c r="L1775" s="196" t="str">
        <v xml:space="preserve"> 43.15</v>
      </c>
      <c r="M1775" s="196"/>
    </row>
    <row r="1776" spans="1:13" ht="14.4" x14ac:dyDescent="0.3">
      <c r="A1776" s="189" t="str">
        <f ca="1">IFERROR(__xludf.DUMMYFUNCTION("""COMPUTED_VALUE"""),"SHB")</f>
        <v>SHB</v>
      </c>
      <c r="B1776" s="195" t="str">
        <f ca="1">IFERROR(__xludf.DUMMYFUNCTION("""COMPUTED_VALUE"""),"Harper Pham")</f>
        <v>Harper Pham</v>
      </c>
      <c r="C1776" s="189">
        <f ca="1">IFERROR(__xludf.DUMMYFUNCTION("""COMPUTED_VALUE"""),11)</f>
        <v>11</v>
      </c>
      <c r="D1776" s="189" t="str">
        <f ca="1">IFERROR(__xludf.DUMMYFUNCTION("""COMPUTED_VALUE"""),"G")</f>
        <v>G</v>
      </c>
      <c r="E1776" s="189" t="str">
        <f ca="1">IFERROR(__xludf.DUMMYFUNCTION("""COMPUTED_VALUE"""),"J")</f>
        <v>J</v>
      </c>
      <c r="F1776" s="189" t="str">
        <f ca="1">IFERROR(__xludf.DUMMYFUNCTION("""COMPUTED_VALUE"""),"I")</f>
        <v>I</v>
      </c>
      <c r="G1776" s="189">
        <f ca="1">IFERROR(__xludf.DUMMYFUNCTION("""COMPUTED_VALUE"""),6)</f>
        <v>6</v>
      </c>
      <c r="H1776" s="196"/>
      <c r="I1776" s="196"/>
      <c r="J1776" s="196"/>
      <c r="K1776" s="196"/>
      <c r="L1776" s="196" t="str">
        <v/>
      </c>
      <c r="M1776" s="196"/>
    </row>
    <row r="1777" spans="1:13" ht="14.4" x14ac:dyDescent="0.3">
      <c r="A1777" s="189" t="str">
        <f ca="1">IFERROR(__xludf.DUMMYFUNCTION("""COMPUTED_VALUE"""),"SHB")</f>
        <v>SHB</v>
      </c>
      <c r="B1777" s="195" t="str">
        <f ca="1">IFERROR(__xludf.DUMMYFUNCTION("""COMPUTED_VALUE"""),"Maya Orlova")</f>
        <v>Maya Orlova</v>
      </c>
      <c r="C1777" s="189">
        <f ca="1">IFERROR(__xludf.DUMMYFUNCTION("""COMPUTED_VALUE"""),12)</f>
        <v>12</v>
      </c>
      <c r="D1777" s="189" t="str">
        <f ca="1">IFERROR(__xludf.DUMMYFUNCTION("""COMPUTED_VALUE"""),"G")</f>
        <v>G</v>
      </c>
      <c r="E1777" s="189" t="str">
        <f ca="1">IFERROR(__xludf.DUMMYFUNCTION("""COMPUTED_VALUE"""),"J")</f>
        <v>J</v>
      </c>
      <c r="F1777" s="189" t="str">
        <f ca="1">IFERROR(__xludf.DUMMYFUNCTION("""COMPUTED_VALUE"""),"I")</f>
        <v>I</v>
      </c>
      <c r="G1777" s="189">
        <f ca="1">IFERROR(__xludf.DUMMYFUNCTION("""COMPUTED_VALUE"""),6)</f>
        <v>6</v>
      </c>
      <c r="H1777" s="196" t="s">
        <v>728</v>
      </c>
      <c r="I1777" s="196"/>
      <c r="J1777" s="196" t="s">
        <v>29</v>
      </c>
      <c r="K1777" s="196"/>
      <c r="L1777" s="196" t="str">
        <v xml:space="preserve"> 93.90</v>
      </c>
      <c r="M1777" s="196"/>
    </row>
    <row r="1778" spans="1:13" ht="14.4" x14ac:dyDescent="0.3">
      <c r="A1778" s="189" t="str">
        <f ca="1">IFERROR(__xludf.DUMMYFUNCTION("""COMPUTED_VALUE"""),"SHB")</f>
        <v>SHB</v>
      </c>
      <c r="B1778" s="195" t="str">
        <f ca="1">IFERROR(__xludf.DUMMYFUNCTION("""COMPUTED_VALUE"""),"Gavin Benone")</f>
        <v>Gavin Benone</v>
      </c>
      <c r="C1778" s="189">
        <f ca="1">IFERROR(__xludf.DUMMYFUNCTION("""COMPUTED_VALUE"""),11)</f>
        <v>11</v>
      </c>
      <c r="D1778" s="189" t="str">
        <f ca="1">IFERROR(__xludf.DUMMYFUNCTION("""COMPUTED_VALUE"""),"B")</f>
        <v>B</v>
      </c>
      <c r="E1778" s="189" t="str">
        <f ca="1">IFERROR(__xludf.DUMMYFUNCTION("""COMPUTED_VALUE"""),"J")</f>
        <v>J</v>
      </c>
      <c r="F1778" s="189" t="str">
        <f ca="1">IFERROR(__xludf.DUMMYFUNCTION("""COMPUTED_VALUE"""),"I")</f>
        <v>I</v>
      </c>
      <c r="G1778" s="189">
        <f ca="1">IFERROR(__xludf.DUMMYFUNCTION("""COMPUTED_VALUE"""),6)</f>
        <v>6</v>
      </c>
      <c r="H1778" s="196"/>
      <c r="I1778" s="196"/>
      <c r="J1778" s="196"/>
      <c r="K1778" s="196"/>
      <c r="L1778" s="196" t="str">
        <v/>
      </c>
      <c r="M1778" s="196"/>
    </row>
    <row r="1779" spans="1:13" ht="14.4" x14ac:dyDescent="0.3">
      <c r="A1779" s="189" t="str">
        <f ca="1">IFERROR(__xludf.DUMMYFUNCTION("""COMPUTED_VALUE"""),"SHB")</f>
        <v>SHB</v>
      </c>
      <c r="B1779" s="195" t="str">
        <f ca="1">IFERROR(__xludf.DUMMYFUNCTION("""COMPUTED_VALUE"""),"Kalyan Williams")</f>
        <v>Kalyan Williams</v>
      </c>
      <c r="C1779" s="189">
        <f ca="1">IFERROR(__xludf.DUMMYFUNCTION("""COMPUTED_VALUE"""),11)</f>
        <v>11</v>
      </c>
      <c r="D1779" s="189" t="str">
        <f ca="1">IFERROR(__xludf.DUMMYFUNCTION("""COMPUTED_VALUE"""),"B")</f>
        <v>B</v>
      </c>
      <c r="E1779" s="189" t="str">
        <f ca="1">IFERROR(__xludf.DUMMYFUNCTION("""COMPUTED_VALUE"""),"J")</f>
        <v>J</v>
      </c>
      <c r="F1779" s="189" t="str">
        <f ca="1">IFERROR(__xludf.DUMMYFUNCTION("""COMPUTED_VALUE"""),"I")</f>
        <v>I</v>
      </c>
      <c r="G1779" s="189">
        <f ca="1">IFERROR(__xludf.DUMMYFUNCTION("""COMPUTED_VALUE"""),6)</f>
        <v>6</v>
      </c>
      <c r="H1779" s="196" t="s">
        <v>729</v>
      </c>
      <c r="I1779" s="196"/>
      <c r="J1779" s="196" t="s">
        <v>29</v>
      </c>
      <c r="K1779" s="196"/>
      <c r="L1779" s="196" t="str">
        <v xml:space="preserve"> 30.50</v>
      </c>
      <c r="M1779" s="196"/>
    </row>
    <row r="1780" spans="1:13" ht="14.4" x14ac:dyDescent="0.3">
      <c r="A1780" s="189" t="str">
        <f ca="1">IFERROR(__xludf.DUMMYFUNCTION("""COMPUTED_VALUE"""),"SHB")</f>
        <v>SHB</v>
      </c>
      <c r="B1780" s="195" t="str">
        <f ca="1">IFERROR(__xludf.DUMMYFUNCTION("""COMPUTED_VALUE"""),"Kyle Schutt")</f>
        <v>Kyle Schutt</v>
      </c>
      <c r="C1780" s="189">
        <f ca="1">IFERROR(__xludf.DUMMYFUNCTION("""COMPUTED_VALUE"""),12)</f>
        <v>12</v>
      </c>
      <c r="D1780" s="189" t="str">
        <f ca="1">IFERROR(__xludf.DUMMYFUNCTION("""COMPUTED_VALUE"""),"B")</f>
        <v>B</v>
      </c>
      <c r="E1780" s="189" t="str">
        <f ca="1">IFERROR(__xludf.DUMMYFUNCTION("""COMPUTED_VALUE"""),"J")</f>
        <v>J</v>
      </c>
      <c r="F1780" s="189" t="str">
        <f ca="1">IFERROR(__xludf.DUMMYFUNCTION("""COMPUTED_VALUE"""),"I")</f>
        <v>I</v>
      </c>
      <c r="G1780" s="189">
        <f ca="1">IFERROR(__xludf.DUMMYFUNCTION("""COMPUTED_VALUE"""),6)</f>
        <v>6</v>
      </c>
      <c r="H1780" s="196" t="s">
        <v>730</v>
      </c>
      <c r="I1780" s="196"/>
      <c r="J1780" s="196" t="s">
        <v>64</v>
      </c>
      <c r="K1780" s="196"/>
      <c r="L1780" s="196" t="str">
        <v xml:space="preserve"> -97.55</v>
      </c>
      <c r="M1780" s="196"/>
    </row>
    <row r="1781" spans="1:13" ht="14.4" x14ac:dyDescent="0.3">
      <c r="A1781" s="189" t="str">
        <f ca="1">IFERROR(__xludf.DUMMYFUNCTION("""COMPUTED_VALUE"""),"SHB")</f>
        <v>SHB</v>
      </c>
      <c r="B1781" s="195" t="str">
        <f ca="1">IFERROR(__xludf.DUMMYFUNCTION("""COMPUTED_VALUE"""),"Leo Chang")</f>
        <v>Leo Chang</v>
      </c>
      <c r="C1781" s="189">
        <f ca="1">IFERROR(__xludf.DUMMYFUNCTION("""COMPUTED_VALUE"""),11)</f>
        <v>11</v>
      </c>
      <c r="D1781" s="189" t="str">
        <f ca="1">IFERROR(__xludf.DUMMYFUNCTION("""COMPUTED_VALUE"""),"B")</f>
        <v>B</v>
      </c>
      <c r="E1781" s="189" t="str">
        <f ca="1">IFERROR(__xludf.DUMMYFUNCTION("""COMPUTED_VALUE"""),"J")</f>
        <v>J</v>
      </c>
      <c r="F1781" s="189" t="str">
        <f ca="1">IFERROR(__xludf.DUMMYFUNCTION("""COMPUTED_VALUE"""),"I")</f>
        <v>I</v>
      </c>
      <c r="G1781" s="189">
        <f ca="1">IFERROR(__xludf.DUMMYFUNCTION("""COMPUTED_VALUE"""),6)</f>
        <v>6</v>
      </c>
      <c r="H1781" s="196"/>
      <c r="I1781" s="196"/>
      <c r="J1781" s="196"/>
      <c r="K1781" s="196"/>
      <c r="L1781" s="196" t="str">
        <v/>
      </c>
      <c r="M1781" s="196"/>
    </row>
    <row r="1782" spans="1:13" ht="14.4" x14ac:dyDescent="0.3">
      <c r="A1782" s="189" t="str">
        <f ca="1">IFERROR(__xludf.DUMMYFUNCTION("""COMPUTED_VALUE"""),"SHB")</f>
        <v>SHB</v>
      </c>
      <c r="B1782" s="195" t="str">
        <f ca="1">IFERROR(__xludf.DUMMYFUNCTION("""COMPUTED_VALUE"""),"Mason Chang")</f>
        <v>Mason Chang</v>
      </c>
      <c r="C1782" s="189">
        <f ca="1">IFERROR(__xludf.DUMMYFUNCTION("""COMPUTED_VALUE"""),11)</f>
        <v>11</v>
      </c>
      <c r="D1782" s="189" t="str">
        <f ca="1">IFERROR(__xludf.DUMMYFUNCTION("""COMPUTED_VALUE"""),"B")</f>
        <v>B</v>
      </c>
      <c r="E1782" s="189" t="str">
        <f ca="1">IFERROR(__xludf.DUMMYFUNCTION("""COMPUTED_VALUE"""),"J")</f>
        <v>J</v>
      </c>
      <c r="F1782" s="189" t="str">
        <f ca="1">IFERROR(__xludf.DUMMYFUNCTION("""COMPUTED_VALUE"""),"I")</f>
        <v>I</v>
      </c>
      <c r="G1782" s="189">
        <f ca="1">IFERROR(__xludf.DUMMYFUNCTION("""COMPUTED_VALUE"""),6)</f>
        <v>6</v>
      </c>
      <c r="H1782" s="196"/>
      <c r="I1782" s="196"/>
      <c r="J1782" s="196"/>
      <c r="K1782" s="196"/>
      <c r="L1782" s="196" t="str">
        <v/>
      </c>
      <c r="M1782" s="196"/>
    </row>
    <row r="1783" spans="1:13" ht="14.4" x14ac:dyDescent="0.3">
      <c r="A1783" s="189" t="str">
        <f ca="1">IFERROR(__xludf.DUMMYFUNCTION("""COMPUTED_VALUE"""),"SHB")</f>
        <v>SHB</v>
      </c>
      <c r="B1783" s="195" t="str">
        <f ca="1">IFERROR(__xludf.DUMMYFUNCTION("""COMPUTED_VALUE"""),"Tayo Llosa")</f>
        <v>Tayo Llosa</v>
      </c>
      <c r="C1783" s="189">
        <f ca="1">IFERROR(__xludf.DUMMYFUNCTION("""COMPUTED_VALUE"""),11)</f>
        <v>11</v>
      </c>
      <c r="D1783" s="189" t="str">
        <f ca="1">IFERROR(__xludf.DUMMYFUNCTION("""COMPUTED_VALUE"""),"B")</f>
        <v>B</v>
      </c>
      <c r="E1783" s="189" t="str">
        <f ca="1">IFERROR(__xludf.DUMMYFUNCTION("""COMPUTED_VALUE"""),"J")</f>
        <v>J</v>
      </c>
      <c r="F1783" s="189" t="str">
        <f ca="1">IFERROR(__xludf.DUMMYFUNCTION("""COMPUTED_VALUE"""),"I")</f>
        <v>I</v>
      </c>
      <c r="G1783" s="189">
        <f ca="1">IFERROR(__xludf.DUMMYFUNCTION("""COMPUTED_VALUE"""),6)</f>
        <v>6</v>
      </c>
      <c r="H1783" s="196"/>
      <c r="I1783" s="196"/>
      <c r="J1783" s="196"/>
      <c r="K1783" s="196"/>
      <c r="L1783" s="196" t="str">
        <v/>
      </c>
      <c r="M1783" s="196"/>
    </row>
    <row r="1784" spans="1:13" ht="14.4" x14ac:dyDescent="0.3">
      <c r="A1784" s="189" t="str">
        <f ca="1">IFERROR(__xludf.DUMMYFUNCTION("""COMPUTED_VALUE"""),"SHB")</f>
        <v>SHB</v>
      </c>
      <c r="B1784" s="195" t="str">
        <f ca="1">IFERROR(__xludf.DUMMYFUNCTION("""COMPUTED_VALUE"""),"Claire Coughlin")</f>
        <v>Claire Coughlin</v>
      </c>
      <c r="C1784" s="189">
        <f ca="1">IFERROR(__xludf.DUMMYFUNCTION("""COMPUTED_VALUE"""),18)</f>
        <v>18</v>
      </c>
      <c r="D1784" s="189" t="str">
        <f ca="1">IFERROR(__xludf.DUMMYFUNCTION("""COMPUTED_VALUE"""),"G")</f>
        <v>G</v>
      </c>
      <c r="E1784" s="189" t="str">
        <f ca="1">IFERROR(__xludf.DUMMYFUNCTION("""COMPUTED_VALUE"""),"S")</f>
        <v>S</v>
      </c>
      <c r="F1784" s="189" t="str">
        <f ca="1">IFERROR(__xludf.DUMMYFUNCTION("""COMPUTED_VALUE"""),"S")</f>
        <v>S</v>
      </c>
      <c r="G1784" s="189">
        <f ca="1">IFERROR(__xludf.DUMMYFUNCTION("""COMPUTED_VALUE"""),6)</f>
        <v>6</v>
      </c>
      <c r="H1784" s="196"/>
      <c r="I1784" s="196"/>
      <c r="J1784" s="196"/>
      <c r="K1784" s="196"/>
      <c r="L1784" s="196" t="str">
        <v/>
      </c>
      <c r="M1784" s="196"/>
    </row>
    <row r="1785" spans="1:13" ht="14.4" x14ac:dyDescent="0.3">
      <c r="A1785" s="189" t="str">
        <f ca="1">IFERROR(__xludf.DUMMYFUNCTION("""COMPUTED_VALUE"""),"SHB")</f>
        <v>SHB</v>
      </c>
      <c r="B1785" s="195" t="str">
        <f ca="1">IFERROR(__xludf.DUMMYFUNCTION("""COMPUTED_VALUE"""),"Jordan Sussman")</f>
        <v>Jordan Sussman</v>
      </c>
      <c r="C1785" s="189">
        <f ca="1">IFERROR(__xludf.DUMMYFUNCTION("""COMPUTED_VALUE"""),17)</f>
        <v>17</v>
      </c>
      <c r="D1785" s="189" t="str">
        <f ca="1">IFERROR(__xludf.DUMMYFUNCTION("""COMPUTED_VALUE"""),"G")</f>
        <v>G</v>
      </c>
      <c r="E1785" s="189" t="str">
        <f ca="1">IFERROR(__xludf.DUMMYFUNCTION("""COMPUTED_VALUE"""),"S")</f>
        <v>S</v>
      </c>
      <c r="F1785" s="189" t="str">
        <f ca="1">IFERROR(__xludf.DUMMYFUNCTION("""COMPUTED_VALUE"""),"S")</f>
        <v>S</v>
      </c>
      <c r="G1785" s="189">
        <f ca="1">IFERROR(__xludf.DUMMYFUNCTION("""COMPUTED_VALUE"""),6)</f>
        <v>6</v>
      </c>
      <c r="H1785" s="196" t="s">
        <v>731</v>
      </c>
      <c r="I1785" s="196"/>
      <c r="J1785" s="196" t="s">
        <v>29</v>
      </c>
      <c r="K1785" s="196"/>
      <c r="L1785" s="196" t="str">
        <v xml:space="preserve"> 126.70</v>
      </c>
      <c r="M1785" s="196"/>
    </row>
    <row r="1786" spans="1:13" ht="14.4" x14ac:dyDescent="0.3">
      <c r="A1786" s="189" t="str">
        <f ca="1">IFERROR(__xludf.DUMMYFUNCTION("""COMPUTED_VALUE"""),"SHB")</f>
        <v>SHB</v>
      </c>
      <c r="B1786" s="195" t="str">
        <f ca="1">IFERROR(__xludf.DUMMYFUNCTION("""COMPUTED_VALUE"""),"Paisley Wilkins")</f>
        <v>Paisley Wilkins</v>
      </c>
      <c r="C1786" s="189">
        <f ca="1">IFERROR(__xludf.DUMMYFUNCTION("""COMPUTED_VALUE"""),17)</f>
        <v>17</v>
      </c>
      <c r="D1786" s="189" t="str">
        <f ca="1">IFERROR(__xludf.DUMMYFUNCTION("""COMPUTED_VALUE"""),"G")</f>
        <v>G</v>
      </c>
      <c r="E1786" s="189" t="str">
        <f ca="1">IFERROR(__xludf.DUMMYFUNCTION("""COMPUTED_VALUE"""),"S")</f>
        <v>S</v>
      </c>
      <c r="F1786" s="189" t="str">
        <f ca="1">IFERROR(__xludf.DUMMYFUNCTION("""COMPUTED_VALUE"""),"S")</f>
        <v>S</v>
      </c>
      <c r="G1786" s="189">
        <f ca="1">IFERROR(__xludf.DUMMYFUNCTION("""COMPUTED_VALUE"""),6)</f>
        <v>6</v>
      </c>
      <c r="H1786" s="196" t="s">
        <v>732</v>
      </c>
      <c r="I1786" s="196"/>
      <c r="J1786" s="196" t="s">
        <v>29</v>
      </c>
      <c r="K1786" s="196"/>
      <c r="L1786" s="196" t="str">
        <v xml:space="preserve"> 142.35</v>
      </c>
      <c r="M1786" s="196"/>
    </row>
    <row r="1787" spans="1:13" ht="14.4" x14ac:dyDescent="0.3">
      <c r="A1787" s="189" t="str">
        <f ca="1">IFERROR(__xludf.DUMMYFUNCTION("""COMPUTED_VALUE"""),"SHB")</f>
        <v>SHB</v>
      </c>
      <c r="B1787" s="195" t="str">
        <f ca="1">IFERROR(__xludf.DUMMYFUNCTION("""COMPUTED_VALUE"""),"Penelope Lawler")</f>
        <v>Penelope Lawler</v>
      </c>
      <c r="C1787" s="189">
        <f ca="1">IFERROR(__xludf.DUMMYFUNCTION("""COMPUTED_VALUE"""),16)</f>
        <v>16</v>
      </c>
      <c r="D1787" s="189" t="str">
        <f ca="1">IFERROR(__xludf.DUMMYFUNCTION("""COMPUTED_VALUE"""),"G")</f>
        <v>G</v>
      </c>
      <c r="E1787" s="189" t="str">
        <f ca="1">IFERROR(__xludf.DUMMYFUNCTION("""COMPUTED_VALUE"""),"S")</f>
        <v>S</v>
      </c>
      <c r="F1787" s="189" t="str">
        <f ca="1">IFERROR(__xludf.DUMMYFUNCTION("""COMPUTED_VALUE"""),"S")</f>
        <v>S</v>
      </c>
      <c r="G1787" s="189">
        <f ca="1">IFERROR(__xludf.DUMMYFUNCTION("""COMPUTED_VALUE"""),6)</f>
        <v>6</v>
      </c>
      <c r="H1787" s="196" t="s">
        <v>733</v>
      </c>
      <c r="I1787" s="196"/>
      <c r="J1787" s="196" t="s">
        <v>29</v>
      </c>
      <c r="K1787" s="196"/>
      <c r="L1787" s="196" t="str">
        <v xml:space="preserve"> 113.10</v>
      </c>
      <c r="M1787" s="196"/>
    </row>
    <row r="1788" spans="1:13" ht="14.4" x14ac:dyDescent="0.3">
      <c r="A1788" s="189" t="str">
        <f ca="1">IFERROR(__xludf.DUMMYFUNCTION("""COMPUTED_VALUE"""),"SHB")</f>
        <v>SHB</v>
      </c>
      <c r="B1788" s="195" t="str">
        <f ca="1">IFERROR(__xludf.DUMMYFUNCTION("""COMPUTED_VALUE"""),"Petra Oleson")</f>
        <v>Petra Oleson</v>
      </c>
      <c r="C1788" s="189">
        <f ca="1">IFERROR(__xludf.DUMMYFUNCTION("""COMPUTED_VALUE"""),15)</f>
        <v>15</v>
      </c>
      <c r="D1788" s="189" t="str">
        <f ca="1">IFERROR(__xludf.DUMMYFUNCTION("""COMPUTED_VALUE"""),"G")</f>
        <v>G</v>
      </c>
      <c r="E1788" s="189" t="str">
        <f ca="1">IFERROR(__xludf.DUMMYFUNCTION("""COMPUTED_VALUE"""),"S")</f>
        <v>S</v>
      </c>
      <c r="F1788" s="189" t="str">
        <f ca="1">IFERROR(__xludf.DUMMYFUNCTION("""COMPUTED_VALUE"""),"S")</f>
        <v>S</v>
      </c>
      <c r="G1788" s="189">
        <f ca="1">IFERROR(__xludf.DUMMYFUNCTION("""COMPUTED_VALUE"""),6)</f>
        <v>6</v>
      </c>
      <c r="H1788" s="196" t="s">
        <v>381</v>
      </c>
      <c r="I1788" s="196"/>
      <c r="J1788" s="196" t="s">
        <v>29</v>
      </c>
      <c r="K1788" s="196"/>
      <c r="L1788" s="196" t="str">
        <v xml:space="preserve"> 122.05</v>
      </c>
      <c r="M1788" s="196"/>
    </row>
    <row r="1789" spans="1:13" ht="14.4" x14ac:dyDescent="0.3">
      <c r="A1789" s="189" t="str">
        <f ca="1">IFERROR(__xludf.DUMMYFUNCTION("""COMPUTED_VALUE"""),"SHB")</f>
        <v>SHB</v>
      </c>
      <c r="B1789" s="195" t="str">
        <f ca="1">IFERROR(__xludf.DUMMYFUNCTION("""COMPUTED_VALUE"""),"Sarah Rose")</f>
        <v>Sarah Rose</v>
      </c>
      <c r="C1789" s="189">
        <f ca="1">IFERROR(__xludf.DUMMYFUNCTION("""COMPUTED_VALUE"""),17)</f>
        <v>17</v>
      </c>
      <c r="D1789" s="189" t="str">
        <f ca="1">IFERROR(__xludf.DUMMYFUNCTION("""COMPUTED_VALUE"""),"G")</f>
        <v>G</v>
      </c>
      <c r="E1789" s="189" t="str">
        <f ca="1">IFERROR(__xludf.DUMMYFUNCTION("""COMPUTED_VALUE"""),"S")</f>
        <v>S</v>
      </c>
      <c r="F1789" s="189" t="str">
        <f ca="1">IFERROR(__xludf.DUMMYFUNCTION("""COMPUTED_VALUE"""),"S")</f>
        <v>S</v>
      </c>
      <c r="G1789" s="189">
        <f ca="1">IFERROR(__xludf.DUMMYFUNCTION("""COMPUTED_VALUE"""),6)</f>
        <v>6</v>
      </c>
      <c r="H1789" s="196" t="s">
        <v>734</v>
      </c>
      <c r="I1789" s="196"/>
      <c r="J1789" s="196" t="s">
        <v>29</v>
      </c>
      <c r="K1789" s="196"/>
      <c r="L1789" s="196" t="str">
        <v xml:space="preserve"> 95.75</v>
      </c>
      <c r="M1789" s="196"/>
    </row>
    <row r="1790" spans="1:13" ht="14.4" x14ac:dyDescent="0.3">
      <c r="A1790" s="189" t="str">
        <f ca="1">IFERROR(__xludf.DUMMYFUNCTION("""COMPUTED_VALUE"""),"SHB")</f>
        <v>SHB</v>
      </c>
      <c r="B1790" s="195" t="str">
        <f ca="1">IFERROR(__xludf.DUMMYFUNCTION("""COMPUTED_VALUE"""),"Sam Martin")</f>
        <v>Sam Martin</v>
      </c>
      <c r="C1790" s="189">
        <f ca="1">IFERROR(__xludf.DUMMYFUNCTION("""COMPUTED_VALUE"""),18)</f>
        <v>18</v>
      </c>
      <c r="D1790" s="189" t="str">
        <f ca="1">IFERROR(__xludf.DUMMYFUNCTION("""COMPUTED_VALUE"""),"B")</f>
        <v>B</v>
      </c>
      <c r="E1790" s="189" t="str">
        <f ca="1">IFERROR(__xludf.DUMMYFUNCTION("""COMPUTED_VALUE"""),"S")</f>
        <v>S</v>
      </c>
      <c r="F1790" s="189" t="str">
        <f ca="1">IFERROR(__xludf.DUMMYFUNCTION("""COMPUTED_VALUE"""),"S")</f>
        <v>S</v>
      </c>
      <c r="G1790" s="189">
        <f ca="1">IFERROR(__xludf.DUMMYFUNCTION("""COMPUTED_VALUE"""),6)</f>
        <v>6</v>
      </c>
      <c r="H1790" s="196" t="s">
        <v>735</v>
      </c>
      <c r="I1790" s="196"/>
      <c r="J1790" s="196" t="s">
        <v>29</v>
      </c>
      <c r="K1790" s="196"/>
      <c r="L1790" s="196" t="str">
        <v xml:space="preserve"> 139.00</v>
      </c>
      <c r="M1790" s="196"/>
    </row>
    <row r="1791" spans="1:13" ht="14.4" x14ac:dyDescent="0.3">
      <c r="A1791" s="189" t="str">
        <f ca="1">IFERROR(__xludf.DUMMYFUNCTION("""COMPUTED_VALUE"""),"SHR")</f>
        <v>SHR</v>
      </c>
      <c r="B1791" s="195" t="str">
        <f ca="1">IFERROR(__xludf.DUMMYFUNCTION("""COMPUTED_VALUE"""),"Ada Scherer")</f>
        <v>Ada Scherer</v>
      </c>
      <c r="C1791" s="189">
        <f ca="1">IFERROR(__xludf.DUMMYFUNCTION("""COMPUTED_VALUE"""),7)</f>
        <v>7</v>
      </c>
      <c r="D1791" s="189" t="str">
        <f ca="1">IFERROR(__xludf.DUMMYFUNCTION("""COMPUTED_VALUE"""),"G")</f>
        <v>G</v>
      </c>
      <c r="E1791" s="189" t="str">
        <f ca="1">IFERROR(__xludf.DUMMYFUNCTION("""COMPUTED_VALUE"""),"F")</f>
        <v>F</v>
      </c>
      <c r="F1791" s="189" t="str">
        <f ca="1">IFERROR(__xludf.DUMMYFUNCTION("""COMPUTED_VALUE"""),"J")</f>
        <v>J</v>
      </c>
      <c r="G1791" s="189">
        <f ca="1">IFERROR(__xludf.DUMMYFUNCTION("""COMPUTED_VALUE"""),2)</f>
        <v>2</v>
      </c>
      <c r="H1791" s="196"/>
      <c r="I1791" s="196"/>
      <c r="J1791" s="196"/>
      <c r="K1791" s="196"/>
      <c r="L1791" s="196" t="str">
        <v/>
      </c>
      <c r="M1791" s="196"/>
    </row>
    <row r="1792" spans="1:13" ht="14.4" x14ac:dyDescent="0.3">
      <c r="A1792" s="189" t="str">
        <f ca="1">IFERROR(__xludf.DUMMYFUNCTION("""COMPUTED_VALUE"""),"SHR")</f>
        <v>SHR</v>
      </c>
      <c r="B1792" s="195" t="str">
        <f ca="1">IFERROR(__xludf.DUMMYFUNCTION("""COMPUTED_VALUE"""),"Adelaide Frame")</f>
        <v>Adelaide Frame</v>
      </c>
      <c r="C1792" s="189">
        <f ca="1">IFERROR(__xludf.DUMMYFUNCTION("""COMPUTED_VALUE"""),6)</f>
        <v>6</v>
      </c>
      <c r="D1792" s="189" t="str">
        <f ca="1">IFERROR(__xludf.DUMMYFUNCTION("""COMPUTED_VALUE"""),"G")</f>
        <v>G</v>
      </c>
      <c r="E1792" s="189" t="str">
        <f ca="1">IFERROR(__xludf.DUMMYFUNCTION("""COMPUTED_VALUE"""),"F")</f>
        <v>F</v>
      </c>
      <c r="F1792" s="189" t="str">
        <f ca="1">IFERROR(__xludf.DUMMYFUNCTION("""COMPUTED_VALUE"""),"J")</f>
        <v>J</v>
      </c>
      <c r="G1792" s="189">
        <f ca="1">IFERROR(__xludf.DUMMYFUNCTION("""COMPUTED_VALUE"""),2)</f>
        <v>2</v>
      </c>
      <c r="H1792" s="196"/>
      <c r="I1792" s="196"/>
      <c r="J1792" s="196"/>
      <c r="K1792" s="196"/>
      <c r="L1792" s="196" t="str">
        <v/>
      </c>
      <c r="M1792" s="196"/>
    </row>
    <row r="1793" spans="1:13" ht="14.4" x14ac:dyDescent="0.3">
      <c r="A1793" s="189" t="str">
        <f ca="1">IFERROR(__xludf.DUMMYFUNCTION("""COMPUTED_VALUE"""),"SHR")</f>
        <v>SHR</v>
      </c>
      <c r="B1793" s="195" t="str">
        <f ca="1">IFERROR(__xludf.DUMMYFUNCTION("""COMPUTED_VALUE"""),"Aemilia Connolly")</f>
        <v>Aemilia Connolly</v>
      </c>
      <c r="C1793" s="189">
        <f ca="1">IFERROR(__xludf.DUMMYFUNCTION("""COMPUTED_VALUE"""),10)</f>
        <v>10</v>
      </c>
      <c r="D1793" s="189" t="str">
        <f ca="1">IFERROR(__xludf.DUMMYFUNCTION("""COMPUTED_VALUE"""),"G")</f>
        <v>G</v>
      </c>
      <c r="E1793" s="189" t="str">
        <f ca="1">IFERROR(__xludf.DUMMYFUNCTION("""COMPUTED_VALUE"""),"F")</f>
        <v>F</v>
      </c>
      <c r="F1793" s="189" t="str">
        <f ca="1">IFERROR(__xludf.DUMMYFUNCTION("""COMPUTED_VALUE"""),"J")</f>
        <v>J</v>
      </c>
      <c r="G1793" s="189">
        <f ca="1">IFERROR(__xludf.DUMMYFUNCTION("""COMPUTED_VALUE"""),2)</f>
        <v>2</v>
      </c>
      <c r="H1793" s="196" t="s">
        <v>736</v>
      </c>
      <c r="I1793" s="196"/>
      <c r="J1793" s="196" t="s">
        <v>29</v>
      </c>
      <c r="K1793" s="196"/>
      <c r="L1793" s="196" t="str">
        <v xml:space="preserve"> 55.30</v>
      </c>
      <c r="M1793" s="196"/>
    </row>
    <row r="1794" spans="1:13" ht="14.4" x14ac:dyDescent="0.3">
      <c r="A1794" s="189" t="str">
        <f ca="1">IFERROR(__xludf.DUMMYFUNCTION("""COMPUTED_VALUE"""),"SHR")</f>
        <v>SHR</v>
      </c>
      <c r="B1794" s="195" t="str">
        <f ca="1">IFERROR(__xludf.DUMMYFUNCTION("""COMPUTED_VALUE"""),"Afton Walter")</f>
        <v>Afton Walter</v>
      </c>
      <c r="C1794" s="189">
        <f ca="1">IFERROR(__xludf.DUMMYFUNCTION("""COMPUTED_VALUE"""),6)</f>
        <v>6</v>
      </c>
      <c r="D1794" s="189" t="str">
        <f ca="1">IFERROR(__xludf.DUMMYFUNCTION("""COMPUTED_VALUE"""),"G")</f>
        <v>G</v>
      </c>
      <c r="E1794" s="189" t="str">
        <f ca="1">IFERROR(__xludf.DUMMYFUNCTION("""COMPUTED_VALUE"""),"F")</f>
        <v>F</v>
      </c>
      <c r="F1794" s="189" t="str">
        <f ca="1">IFERROR(__xludf.DUMMYFUNCTION("""COMPUTED_VALUE"""),"J")</f>
        <v>J</v>
      </c>
      <c r="G1794" s="189">
        <f ca="1">IFERROR(__xludf.DUMMYFUNCTION("""COMPUTED_VALUE"""),2)</f>
        <v>2</v>
      </c>
      <c r="H1794" s="196"/>
      <c r="I1794" s="196"/>
      <c r="J1794" s="196"/>
      <c r="K1794" s="196"/>
      <c r="L1794" s="196" t="str">
        <v/>
      </c>
      <c r="M1794" s="196"/>
    </row>
    <row r="1795" spans="1:13" ht="14.4" x14ac:dyDescent="0.3">
      <c r="A1795" s="189" t="str">
        <f ca="1">IFERROR(__xludf.DUMMYFUNCTION("""COMPUTED_VALUE"""),"SHR")</f>
        <v>SHR</v>
      </c>
      <c r="B1795" s="195" t="str">
        <f ca="1">IFERROR(__xludf.DUMMYFUNCTION("""COMPUTED_VALUE"""),"Amelia Wisniewski")</f>
        <v>Amelia Wisniewski</v>
      </c>
      <c r="C1795" s="189">
        <f ca="1">IFERROR(__xludf.DUMMYFUNCTION("""COMPUTED_VALUE"""),10)</f>
        <v>10</v>
      </c>
      <c r="D1795" s="189" t="str">
        <f ca="1">IFERROR(__xludf.DUMMYFUNCTION("""COMPUTED_VALUE"""),"G")</f>
        <v>G</v>
      </c>
      <c r="E1795" s="189" t="str">
        <f ca="1">IFERROR(__xludf.DUMMYFUNCTION("""COMPUTED_VALUE"""),"F")</f>
        <v>F</v>
      </c>
      <c r="F1795" s="189" t="str">
        <f ca="1">IFERROR(__xludf.DUMMYFUNCTION("""COMPUTED_VALUE"""),"J")</f>
        <v>J</v>
      </c>
      <c r="G1795" s="189">
        <f ca="1">IFERROR(__xludf.DUMMYFUNCTION("""COMPUTED_VALUE"""),2)</f>
        <v>2</v>
      </c>
      <c r="H1795" s="196" t="s">
        <v>737</v>
      </c>
      <c r="I1795" s="196"/>
      <c r="J1795" s="196" t="s">
        <v>29</v>
      </c>
      <c r="K1795" s="196"/>
      <c r="L1795" s="196" t="str">
        <v xml:space="preserve"> 26.60</v>
      </c>
      <c r="M1795" s="196"/>
    </row>
    <row r="1796" spans="1:13" ht="14.4" x14ac:dyDescent="0.3">
      <c r="A1796" s="189" t="str">
        <f ca="1">IFERROR(__xludf.DUMMYFUNCTION("""COMPUTED_VALUE"""),"SHR")</f>
        <v>SHR</v>
      </c>
      <c r="B1796" s="195" t="str">
        <f ca="1">IFERROR(__xludf.DUMMYFUNCTION("""COMPUTED_VALUE"""),"Audrey Kuoh")</f>
        <v>Audrey Kuoh</v>
      </c>
      <c r="C1796" s="189">
        <f ca="1">IFERROR(__xludf.DUMMYFUNCTION("""COMPUTED_VALUE"""),9)</f>
        <v>9</v>
      </c>
      <c r="D1796" s="189" t="str">
        <f ca="1">IFERROR(__xludf.DUMMYFUNCTION("""COMPUTED_VALUE"""),"G")</f>
        <v>G</v>
      </c>
      <c r="E1796" s="189" t="str">
        <f ca="1">IFERROR(__xludf.DUMMYFUNCTION("""COMPUTED_VALUE"""),"F")</f>
        <v>F</v>
      </c>
      <c r="F1796" s="189" t="str">
        <f ca="1">IFERROR(__xludf.DUMMYFUNCTION("""COMPUTED_VALUE"""),"J")</f>
        <v>J</v>
      </c>
      <c r="G1796" s="189">
        <f ca="1">IFERROR(__xludf.DUMMYFUNCTION("""COMPUTED_VALUE"""),2)</f>
        <v>2</v>
      </c>
      <c r="H1796" s="196"/>
      <c r="I1796" s="196"/>
      <c r="J1796" s="196"/>
      <c r="K1796" s="196"/>
      <c r="L1796" s="196" t="str">
        <v/>
      </c>
      <c r="M1796" s="196"/>
    </row>
    <row r="1797" spans="1:13" ht="14.4" x14ac:dyDescent="0.3">
      <c r="A1797" s="189" t="str">
        <f ca="1">IFERROR(__xludf.DUMMYFUNCTION("""COMPUTED_VALUE"""),"SHR")</f>
        <v>SHR</v>
      </c>
      <c r="B1797" s="195" t="str">
        <f ca="1">IFERROR(__xludf.DUMMYFUNCTION("""COMPUTED_VALUE"""),"Callie Swanson")</f>
        <v>Callie Swanson</v>
      </c>
      <c r="C1797" s="189">
        <f ca="1">IFERROR(__xludf.DUMMYFUNCTION("""COMPUTED_VALUE"""),8)</f>
        <v>8</v>
      </c>
      <c r="D1797" s="189" t="str">
        <f ca="1">IFERROR(__xludf.DUMMYFUNCTION("""COMPUTED_VALUE"""),"G")</f>
        <v>G</v>
      </c>
      <c r="E1797" s="189" t="str">
        <f ca="1">IFERROR(__xludf.DUMMYFUNCTION("""COMPUTED_VALUE"""),"F")</f>
        <v>F</v>
      </c>
      <c r="F1797" s="189" t="str">
        <f ca="1">IFERROR(__xludf.DUMMYFUNCTION("""COMPUTED_VALUE"""),"J")</f>
        <v>J</v>
      </c>
      <c r="G1797" s="189">
        <f ca="1">IFERROR(__xludf.DUMMYFUNCTION("""COMPUTED_VALUE"""),2)</f>
        <v>2</v>
      </c>
      <c r="H1797" s="196" t="s">
        <v>738</v>
      </c>
      <c r="I1797" s="196"/>
      <c r="J1797" s="196" t="s">
        <v>29</v>
      </c>
      <c r="K1797" s="196"/>
      <c r="L1797" s="196" t="str">
        <v xml:space="preserve"> 35.05</v>
      </c>
      <c r="M1797" s="196"/>
    </row>
    <row r="1798" spans="1:13" ht="14.4" x14ac:dyDescent="0.3">
      <c r="A1798" s="189" t="str">
        <f ca="1">IFERROR(__xludf.DUMMYFUNCTION("""COMPUTED_VALUE"""),"SHR")</f>
        <v>SHR</v>
      </c>
      <c r="B1798" s="195" t="str">
        <f ca="1">IFERROR(__xludf.DUMMYFUNCTION("""COMPUTED_VALUE"""),"Cana Nguyen")</f>
        <v>Cana Nguyen</v>
      </c>
      <c r="C1798" s="189">
        <f ca="1">IFERROR(__xludf.DUMMYFUNCTION("""COMPUTED_VALUE"""),5)</f>
        <v>5</v>
      </c>
      <c r="D1798" s="189" t="str">
        <f ca="1">IFERROR(__xludf.DUMMYFUNCTION("""COMPUTED_VALUE"""),"G")</f>
        <v>G</v>
      </c>
      <c r="E1798" s="189" t="str">
        <f ca="1">IFERROR(__xludf.DUMMYFUNCTION("""COMPUTED_VALUE"""),"F")</f>
        <v>F</v>
      </c>
      <c r="F1798" s="189" t="str">
        <f ca="1">IFERROR(__xludf.DUMMYFUNCTION("""COMPUTED_VALUE"""),"J")</f>
        <v>J</v>
      </c>
      <c r="G1798" s="189">
        <f ca="1">IFERROR(__xludf.DUMMYFUNCTION("""COMPUTED_VALUE"""),2)</f>
        <v>2</v>
      </c>
      <c r="H1798" s="196"/>
      <c r="I1798" s="196"/>
      <c r="J1798" s="196"/>
      <c r="K1798" s="196"/>
      <c r="L1798" s="196" t="str">
        <v/>
      </c>
      <c r="M1798" s="196"/>
    </row>
    <row r="1799" spans="1:13" ht="14.4" x14ac:dyDescent="0.3">
      <c r="A1799" s="189" t="str">
        <f ca="1">IFERROR(__xludf.DUMMYFUNCTION("""COMPUTED_VALUE"""),"SHR")</f>
        <v>SHR</v>
      </c>
      <c r="B1799" s="195" t="str">
        <f ca="1">IFERROR(__xludf.DUMMYFUNCTION("""COMPUTED_VALUE"""),"Charlotte Rice")</f>
        <v>Charlotte Rice</v>
      </c>
      <c r="C1799" s="189">
        <f ca="1">IFERROR(__xludf.DUMMYFUNCTION("""COMPUTED_VALUE"""),7)</f>
        <v>7</v>
      </c>
      <c r="D1799" s="189" t="str">
        <f ca="1">IFERROR(__xludf.DUMMYFUNCTION("""COMPUTED_VALUE"""),"G")</f>
        <v>G</v>
      </c>
      <c r="E1799" s="189" t="str">
        <f ca="1">IFERROR(__xludf.DUMMYFUNCTION("""COMPUTED_VALUE"""),"F")</f>
        <v>F</v>
      </c>
      <c r="F1799" s="189" t="str">
        <f ca="1">IFERROR(__xludf.DUMMYFUNCTION("""COMPUTED_VALUE"""),"J")</f>
        <v>J</v>
      </c>
      <c r="G1799" s="189">
        <f ca="1">IFERROR(__xludf.DUMMYFUNCTION("""COMPUTED_VALUE"""),2)</f>
        <v>2</v>
      </c>
      <c r="H1799" s="196"/>
      <c r="I1799" s="196"/>
      <c r="J1799" s="196"/>
      <c r="K1799" s="196"/>
      <c r="L1799" s="196" t="str">
        <v/>
      </c>
      <c r="M1799" s="196"/>
    </row>
    <row r="1800" spans="1:13" ht="14.4" x14ac:dyDescent="0.3">
      <c r="A1800" s="189" t="str">
        <f ca="1">IFERROR(__xludf.DUMMYFUNCTION("""COMPUTED_VALUE"""),"SHR")</f>
        <v>SHR</v>
      </c>
      <c r="B1800" s="195" t="str">
        <f ca="1">IFERROR(__xludf.DUMMYFUNCTION("""COMPUTED_VALUE"""),"Eleanor Connolly")</f>
        <v>Eleanor Connolly</v>
      </c>
      <c r="C1800" s="189">
        <f ca="1">IFERROR(__xludf.DUMMYFUNCTION("""COMPUTED_VALUE"""),9)</f>
        <v>9</v>
      </c>
      <c r="D1800" s="189" t="str">
        <f ca="1">IFERROR(__xludf.DUMMYFUNCTION("""COMPUTED_VALUE"""),"G")</f>
        <v>G</v>
      </c>
      <c r="E1800" s="189" t="str">
        <f ca="1">IFERROR(__xludf.DUMMYFUNCTION("""COMPUTED_VALUE"""),"F")</f>
        <v>F</v>
      </c>
      <c r="F1800" s="189" t="str">
        <f ca="1">IFERROR(__xludf.DUMMYFUNCTION("""COMPUTED_VALUE"""),"J")</f>
        <v>J</v>
      </c>
      <c r="G1800" s="189">
        <f ca="1">IFERROR(__xludf.DUMMYFUNCTION("""COMPUTED_VALUE"""),2)</f>
        <v>2</v>
      </c>
      <c r="H1800" s="196" t="s">
        <v>739</v>
      </c>
      <c r="I1800" s="196"/>
      <c r="J1800" s="196" t="s">
        <v>29</v>
      </c>
      <c r="K1800" s="196"/>
      <c r="L1800" s="196" t="str">
        <v xml:space="preserve"> 31.40</v>
      </c>
      <c r="M1800" s="196"/>
    </row>
    <row r="1801" spans="1:13" ht="14.4" x14ac:dyDescent="0.3">
      <c r="A1801" s="189" t="str">
        <f ca="1">IFERROR(__xludf.DUMMYFUNCTION("""COMPUTED_VALUE"""),"SHR")</f>
        <v>SHR</v>
      </c>
      <c r="B1801" s="195" t="str">
        <f ca="1">IFERROR(__xludf.DUMMYFUNCTION("""COMPUTED_VALUE"""),"Elisa Olson")</f>
        <v>Elisa Olson</v>
      </c>
      <c r="C1801" s="189">
        <f ca="1">IFERROR(__xludf.DUMMYFUNCTION("""COMPUTED_VALUE"""),6)</f>
        <v>6</v>
      </c>
      <c r="D1801" s="189" t="str">
        <f ca="1">IFERROR(__xludf.DUMMYFUNCTION("""COMPUTED_VALUE"""),"G")</f>
        <v>G</v>
      </c>
      <c r="E1801" s="189" t="str">
        <f ca="1">IFERROR(__xludf.DUMMYFUNCTION("""COMPUTED_VALUE"""),"F")</f>
        <v>F</v>
      </c>
      <c r="F1801" s="189" t="str">
        <f ca="1">IFERROR(__xludf.DUMMYFUNCTION("""COMPUTED_VALUE"""),"J")</f>
        <v>J</v>
      </c>
      <c r="G1801" s="189">
        <f ca="1">IFERROR(__xludf.DUMMYFUNCTION("""COMPUTED_VALUE"""),2)</f>
        <v>2</v>
      </c>
      <c r="H1801" s="196"/>
      <c r="I1801" s="196"/>
      <c r="J1801" s="196"/>
      <c r="K1801" s="196"/>
      <c r="L1801" s="196" t="str">
        <v/>
      </c>
      <c r="M1801" s="196"/>
    </row>
    <row r="1802" spans="1:13" ht="14.4" x14ac:dyDescent="0.3">
      <c r="A1802" s="189" t="str">
        <f ca="1">IFERROR(__xludf.DUMMYFUNCTION("""COMPUTED_VALUE"""),"SHR")</f>
        <v>SHR</v>
      </c>
      <c r="B1802" s="195" t="str">
        <f ca="1">IFERROR(__xludf.DUMMYFUNCTION("""COMPUTED_VALUE"""),"Elizabeth DiVincenzo")</f>
        <v>Elizabeth DiVincenzo</v>
      </c>
      <c r="C1802" s="189">
        <f ca="1">IFERROR(__xludf.DUMMYFUNCTION("""COMPUTED_VALUE"""),9)</f>
        <v>9</v>
      </c>
      <c r="D1802" s="189" t="str">
        <f ca="1">IFERROR(__xludf.DUMMYFUNCTION("""COMPUTED_VALUE"""),"G")</f>
        <v>G</v>
      </c>
      <c r="E1802" s="189" t="str">
        <f ca="1">IFERROR(__xludf.DUMMYFUNCTION("""COMPUTED_VALUE"""),"F")</f>
        <v>F</v>
      </c>
      <c r="F1802" s="189" t="str">
        <f ca="1">IFERROR(__xludf.DUMMYFUNCTION("""COMPUTED_VALUE"""),"J")</f>
        <v>J</v>
      </c>
      <c r="G1802" s="189">
        <f ca="1">IFERROR(__xludf.DUMMYFUNCTION("""COMPUTED_VALUE"""),2)</f>
        <v>2</v>
      </c>
      <c r="H1802" s="196"/>
      <c r="I1802" s="196"/>
      <c r="J1802" s="196"/>
      <c r="K1802" s="196"/>
      <c r="L1802" s="196" t="str">
        <v/>
      </c>
      <c r="M1802" s="196"/>
    </row>
    <row r="1803" spans="1:13" ht="14.4" x14ac:dyDescent="0.3">
      <c r="A1803" s="189" t="str">
        <f ca="1">IFERROR(__xludf.DUMMYFUNCTION("""COMPUTED_VALUE"""),"SHR")</f>
        <v>SHR</v>
      </c>
      <c r="B1803" s="195" t="str">
        <f ca="1">IFERROR(__xludf.DUMMYFUNCTION("""COMPUTED_VALUE"""),"Evangeline Thome")</f>
        <v>Evangeline Thome</v>
      </c>
      <c r="C1803" s="189">
        <f ca="1">IFERROR(__xludf.DUMMYFUNCTION("""COMPUTED_VALUE"""),10)</f>
        <v>10</v>
      </c>
      <c r="D1803" s="189" t="str">
        <f ca="1">IFERROR(__xludf.DUMMYFUNCTION("""COMPUTED_VALUE"""),"G")</f>
        <v>G</v>
      </c>
      <c r="E1803" s="189" t="str">
        <f ca="1">IFERROR(__xludf.DUMMYFUNCTION("""COMPUTED_VALUE"""),"F")</f>
        <v>F</v>
      </c>
      <c r="F1803" s="189" t="str">
        <f ca="1">IFERROR(__xludf.DUMMYFUNCTION("""COMPUTED_VALUE"""),"J")</f>
        <v>J</v>
      </c>
      <c r="G1803" s="189">
        <f ca="1">IFERROR(__xludf.DUMMYFUNCTION("""COMPUTED_VALUE"""),2)</f>
        <v>2</v>
      </c>
      <c r="H1803" s="196" t="s">
        <v>196</v>
      </c>
      <c r="I1803" s="196"/>
      <c r="J1803" s="196" t="s">
        <v>29</v>
      </c>
      <c r="K1803" s="196"/>
      <c r="L1803" s="196" t="str">
        <v xml:space="preserve"> 52.00</v>
      </c>
      <c r="M1803" s="196"/>
    </row>
    <row r="1804" spans="1:13" ht="14.4" x14ac:dyDescent="0.3">
      <c r="A1804" s="189" t="str">
        <f ca="1">IFERROR(__xludf.DUMMYFUNCTION("""COMPUTED_VALUE"""),"SHR")</f>
        <v>SHR</v>
      </c>
      <c r="B1804" s="195" t="str">
        <f ca="1">IFERROR(__xludf.DUMMYFUNCTION("""COMPUTED_VALUE"""),"Fiona Whatley")</f>
        <v>Fiona Whatley</v>
      </c>
      <c r="C1804" s="189">
        <f ca="1">IFERROR(__xludf.DUMMYFUNCTION("""COMPUTED_VALUE"""),9)</f>
        <v>9</v>
      </c>
      <c r="D1804" s="189" t="str">
        <f ca="1">IFERROR(__xludf.DUMMYFUNCTION("""COMPUTED_VALUE"""),"G")</f>
        <v>G</v>
      </c>
      <c r="E1804" s="189" t="str">
        <f ca="1">IFERROR(__xludf.DUMMYFUNCTION("""COMPUTED_VALUE"""),"F")</f>
        <v>F</v>
      </c>
      <c r="F1804" s="189" t="str">
        <f ca="1">IFERROR(__xludf.DUMMYFUNCTION("""COMPUTED_VALUE"""),"J")</f>
        <v>J</v>
      </c>
      <c r="G1804" s="189">
        <f ca="1">IFERROR(__xludf.DUMMYFUNCTION("""COMPUTED_VALUE"""),2)</f>
        <v>2</v>
      </c>
      <c r="H1804" s="196"/>
      <c r="I1804" s="196"/>
      <c r="J1804" s="196"/>
      <c r="K1804" s="196"/>
      <c r="L1804" s="196" t="str">
        <v/>
      </c>
      <c r="M1804" s="196"/>
    </row>
    <row r="1805" spans="1:13" ht="14.4" x14ac:dyDescent="0.3">
      <c r="A1805" s="189" t="str">
        <f ca="1">IFERROR(__xludf.DUMMYFUNCTION("""COMPUTED_VALUE"""),"SHR")</f>
        <v>SHR</v>
      </c>
      <c r="B1805" s="195" t="str">
        <f ca="1">IFERROR(__xludf.DUMMYFUNCTION("""COMPUTED_VALUE"""),"Frankie Eckenrode")</f>
        <v>Frankie Eckenrode</v>
      </c>
      <c r="C1805" s="189">
        <f ca="1">IFERROR(__xludf.DUMMYFUNCTION("""COMPUTED_VALUE"""),7)</f>
        <v>7</v>
      </c>
      <c r="D1805" s="189" t="str">
        <f ca="1">IFERROR(__xludf.DUMMYFUNCTION("""COMPUTED_VALUE"""),"G")</f>
        <v>G</v>
      </c>
      <c r="E1805" s="189" t="str">
        <f ca="1">IFERROR(__xludf.DUMMYFUNCTION("""COMPUTED_VALUE"""),"F")</f>
        <v>F</v>
      </c>
      <c r="F1805" s="189" t="str">
        <f ca="1">IFERROR(__xludf.DUMMYFUNCTION("""COMPUTED_VALUE"""),"J")</f>
        <v>J</v>
      </c>
      <c r="G1805" s="189">
        <f ca="1">IFERROR(__xludf.DUMMYFUNCTION("""COMPUTED_VALUE"""),2)</f>
        <v>2</v>
      </c>
      <c r="H1805" s="196"/>
      <c r="I1805" s="196"/>
      <c r="J1805" s="196"/>
      <c r="K1805" s="196"/>
      <c r="L1805" s="196" t="str">
        <v/>
      </c>
      <c r="M1805" s="196"/>
    </row>
    <row r="1806" spans="1:13" ht="14.4" x14ac:dyDescent="0.3">
      <c r="A1806" s="189" t="str">
        <f ca="1">IFERROR(__xludf.DUMMYFUNCTION("""COMPUTED_VALUE"""),"SHR")</f>
        <v>SHR</v>
      </c>
      <c r="B1806" s="195" t="str">
        <f ca="1">IFERROR(__xludf.DUMMYFUNCTION("""COMPUTED_VALUE"""),"Georgie Marra")</f>
        <v>Georgie Marra</v>
      </c>
      <c r="C1806" s="189">
        <f ca="1">IFERROR(__xludf.DUMMYFUNCTION("""COMPUTED_VALUE"""),6)</f>
        <v>6</v>
      </c>
      <c r="D1806" s="189" t="str">
        <f ca="1">IFERROR(__xludf.DUMMYFUNCTION("""COMPUTED_VALUE"""),"G")</f>
        <v>G</v>
      </c>
      <c r="E1806" s="189" t="str">
        <f ca="1">IFERROR(__xludf.DUMMYFUNCTION("""COMPUTED_VALUE"""),"F")</f>
        <v>F</v>
      </c>
      <c r="F1806" s="189" t="str">
        <f ca="1">IFERROR(__xludf.DUMMYFUNCTION("""COMPUTED_VALUE"""),"J")</f>
        <v>J</v>
      </c>
      <c r="G1806" s="189">
        <f ca="1">IFERROR(__xludf.DUMMYFUNCTION("""COMPUTED_VALUE"""),2)</f>
        <v>2</v>
      </c>
      <c r="H1806" s="196"/>
      <c r="I1806" s="196"/>
      <c r="J1806" s="196"/>
      <c r="K1806" s="196"/>
      <c r="L1806" s="196" t="str">
        <v/>
      </c>
      <c r="M1806" s="196"/>
    </row>
    <row r="1807" spans="1:13" ht="14.4" x14ac:dyDescent="0.3">
      <c r="A1807" s="189" t="str">
        <f ca="1">IFERROR(__xludf.DUMMYFUNCTION("""COMPUTED_VALUE"""),"SHR")</f>
        <v>SHR</v>
      </c>
      <c r="B1807" s="195" t="str">
        <f ca="1">IFERROR(__xludf.DUMMYFUNCTION("""COMPUTED_VALUE"""),"Hadley Chen")</f>
        <v>Hadley Chen</v>
      </c>
      <c r="C1807" s="189">
        <f ca="1">IFERROR(__xludf.DUMMYFUNCTION("""COMPUTED_VALUE"""),6)</f>
        <v>6</v>
      </c>
      <c r="D1807" s="189" t="str">
        <f ca="1">IFERROR(__xludf.DUMMYFUNCTION("""COMPUTED_VALUE"""),"G")</f>
        <v>G</v>
      </c>
      <c r="E1807" s="189" t="str">
        <f ca="1">IFERROR(__xludf.DUMMYFUNCTION("""COMPUTED_VALUE"""),"F")</f>
        <v>F</v>
      </c>
      <c r="F1807" s="189" t="str">
        <f ca="1">IFERROR(__xludf.DUMMYFUNCTION("""COMPUTED_VALUE"""),"J")</f>
        <v>J</v>
      </c>
      <c r="G1807" s="189">
        <f ca="1">IFERROR(__xludf.DUMMYFUNCTION("""COMPUTED_VALUE"""),2)</f>
        <v>2</v>
      </c>
      <c r="H1807" s="196"/>
      <c r="I1807" s="196"/>
      <c r="J1807" s="196"/>
      <c r="K1807" s="196"/>
      <c r="L1807" s="196" t="str">
        <v/>
      </c>
      <c r="M1807" s="196"/>
    </row>
    <row r="1808" spans="1:13" ht="14.4" x14ac:dyDescent="0.3">
      <c r="A1808" s="189" t="str">
        <f ca="1">IFERROR(__xludf.DUMMYFUNCTION("""COMPUTED_VALUE"""),"SHR")</f>
        <v>SHR</v>
      </c>
      <c r="B1808" s="195" t="str">
        <f ca="1">IFERROR(__xludf.DUMMYFUNCTION("""COMPUTED_VALUE"""),"Harper Vida")</f>
        <v>Harper Vida</v>
      </c>
      <c r="C1808" s="189">
        <f ca="1">IFERROR(__xludf.DUMMYFUNCTION("""COMPUTED_VALUE"""),9)</f>
        <v>9</v>
      </c>
      <c r="D1808" s="189" t="str">
        <f ca="1">IFERROR(__xludf.DUMMYFUNCTION("""COMPUTED_VALUE"""),"G")</f>
        <v>G</v>
      </c>
      <c r="E1808" s="189" t="str">
        <f ca="1">IFERROR(__xludf.DUMMYFUNCTION("""COMPUTED_VALUE"""),"F")</f>
        <v>F</v>
      </c>
      <c r="F1808" s="189" t="str">
        <f ca="1">IFERROR(__xludf.DUMMYFUNCTION("""COMPUTED_VALUE"""),"J")</f>
        <v>J</v>
      </c>
      <c r="G1808" s="189">
        <f ca="1">IFERROR(__xludf.DUMMYFUNCTION("""COMPUTED_VALUE"""),2)</f>
        <v>2</v>
      </c>
      <c r="H1808" s="196" t="s">
        <v>740</v>
      </c>
      <c r="I1808" s="196"/>
      <c r="J1808" s="196" t="s">
        <v>29</v>
      </c>
      <c r="K1808" s="196"/>
      <c r="L1808" s="196" t="str">
        <v xml:space="preserve"> 58.30</v>
      </c>
      <c r="M1808" s="196"/>
    </row>
    <row r="1809" spans="1:13" ht="14.4" x14ac:dyDescent="0.3">
      <c r="A1809" s="189" t="str">
        <f ca="1">IFERROR(__xludf.DUMMYFUNCTION("""COMPUTED_VALUE"""),"SHR")</f>
        <v>SHR</v>
      </c>
      <c r="B1809" s="195" t="str">
        <f ca="1">IFERROR(__xludf.DUMMYFUNCTION("""COMPUTED_VALUE"""),"Jourdan Evans")</f>
        <v>Jourdan Evans</v>
      </c>
      <c r="C1809" s="189">
        <f ca="1">IFERROR(__xludf.DUMMYFUNCTION("""COMPUTED_VALUE"""),6)</f>
        <v>6</v>
      </c>
      <c r="D1809" s="189" t="str">
        <f ca="1">IFERROR(__xludf.DUMMYFUNCTION("""COMPUTED_VALUE"""),"G")</f>
        <v>G</v>
      </c>
      <c r="E1809" s="189" t="str">
        <f ca="1">IFERROR(__xludf.DUMMYFUNCTION("""COMPUTED_VALUE"""),"F")</f>
        <v>F</v>
      </c>
      <c r="F1809" s="189" t="str">
        <f ca="1">IFERROR(__xludf.DUMMYFUNCTION("""COMPUTED_VALUE"""),"J")</f>
        <v>J</v>
      </c>
      <c r="G1809" s="189">
        <f ca="1">IFERROR(__xludf.DUMMYFUNCTION("""COMPUTED_VALUE"""),2)</f>
        <v>2</v>
      </c>
      <c r="H1809" s="196"/>
      <c r="I1809" s="196"/>
      <c r="J1809" s="196"/>
      <c r="K1809" s="196"/>
      <c r="L1809" s="196" t="str">
        <v/>
      </c>
      <c r="M1809" s="196"/>
    </row>
    <row r="1810" spans="1:13" ht="14.4" x14ac:dyDescent="0.3">
      <c r="A1810" s="189" t="str">
        <f ca="1">IFERROR(__xludf.DUMMYFUNCTION("""COMPUTED_VALUE"""),"SHR")</f>
        <v>SHR</v>
      </c>
      <c r="B1810" s="195" t="str">
        <f ca="1">IFERROR(__xludf.DUMMYFUNCTION("""COMPUTED_VALUE"""),"Kathryn Miller")</f>
        <v>Kathryn Miller</v>
      </c>
      <c r="C1810" s="189">
        <f ca="1">IFERROR(__xludf.DUMMYFUNCTION("""COMPUTED_VALUE"""),10)</f>
        <v>10</v>
      </c>
      <c r="D1810" s="189" t="str">
        <f ca="1">IFERROR(__xludf.DUMMYFUNCTION("""COMPUTED_VALUE"""),"G")</f>
        <v>G</v>
      </c>
      <c r="E1810" s="189" t="str">
        <f ca="1">IFERROR(__xludf.DUMMYFUNCTION("""COMPUTED_VALUE"""),"F")</f>
        <v>F</v>
      </c>
      <c r="F1810" s="189" t="str">
        <f ca="1">IFERROR(__xludf.DUMMYFUNCTION("""COMPUTED_VALUE"""),"J")</f>
        <v>J</v>
      </c>
      <c r="G1810" s="189">
        <f ca="1">IFERROR(__xludf.DUMMYFUNCTION("""COMPUTED_VALUE"""),2)</f>
        <v>2</v>
      </c>
      <c r="H1810" s="196"/>
      <c r="I1810" s="196"/>
      <c r="J1810" s="196"/>
      <c r="K1810" s="196"/>
      <c r="L1810" s="196" t="str">
        <v/>
      </c>
      <c r="M1810" s="196"/>
    </row>
    <row r="1811" spans="1:13" ht="14.4" x14ac:dyDescent="0.3">
      <c r="A1811" s="189" t="str">
        <f ca="1">IFERROR(__xludf.DUMMYFUNCTION("""COMPUTED_VALUE"""),"SHR")</f>
        <v>SHR</v>
      </c>
      <c r="B1811" s="195" t="str">
        <f ca="1">IFERROR(__xludf.DUMMYFUNCTION("""COMPUTED_VALUE"""),"Lily Brubeck")</f>
        <v>Lily Brubeck</v>
      </c>
      <c r="C1811" s="189">
        <f ca="1">IFERROR(__xludf.DUMMYFUNCTION("""COMPUTED_VALUE"""),6)</f>
        <v>6</v>
      </c>
      <c r="D1811" s="189" t="str">
        <f ca="1">IFERROR(__xludf.DUMMYFUNCTION("""COMPUTED_VALUE"""),"G")</f>
        <v>G</v>
      </c>
      <c r="E1811" s="189" t="str">
        <f ca="1">IFERROR(__xludf.DUMMYFUNCTION("""COMPUTED_VALUE"""),"F")</f>
        <v>F</v>
      </c>
      <c r="F1811" s="189" t="str">
        <f ca="1">IFERROR(__xludf.DUMMYFUNCTION("""COMPUTED_VALUE"""),"J")</f>
        <v>J</v>
      </c>
      <c r="G1811" s="189">
        <f ca="1">IFERROR(__xludf.DUMMYFUNCTION("""COMPUTED_VALUE"""),2)</f>
        <v>2</v>
      </c>
      <c r="H1811" s="196"/>
      <c r="I1811" s="196"/>
      <c r="J1811" s="196"/>
      <c r="K1811" s="196"/>
      <c r="L1811" s="196" t="str">
        <v/>
      </c>
      <c r="M1811" s="196"/>
    </row>
    <row r="1812" spans="1:13" ht="14.4" x14ac:dyDescent="0.3">
      <c r="A1812" s="189" t="str">
        <f ca="1">IFERROR(__xludf.DUMMYFUNCTION("""COMPUTED_VALUE"""),"SHR")</f>
        <v>SHR</v>
      </c>
      <c r="B1812" s="195" t="str">
        <f ca="1">IFERROR(__xludf.DUMMYFUNCTION("""COMPUTED_VALUE"""),"Luciana Fernandez")</f>
        <v>Luciana Fernandez</v>
      </c>
      <c r="C1812" s="189">
        <f ca="1">IFERROR(__xludf.DUMMYFUNCTION("""COMPUTED_VALUE"""),10)</f>
        <v>10</v>
      </c>
      <c r="D1812" s="189" t="str">
        <f ca="1">IFERROR(__xludf.DUMMYFUNCTION("""COMPUTED_VALUE"""),"G")</f>
        <v>G</v>
      </c>
      <c r="E1812" s="189" t="str">
        <f ca="1">IFERROR(__xludf.DUMMYFUNCTION("""COMPUTED_VALUE"""),"F")</f>
        <v>F</v>
      </c>
      <c r="F1812" s="189" t="str">
        <f ca="1">IFERROR(__xludf.DUMMYFUNCTION("""COMPUTED_VALUE"""),"J")</f>
        <v>J</v>
      </c>
      <c r="G1812" s="189">
        <f ca="1">IFERROR(__xludf.DUMMYFUNCTION("""COMPUTED_VALUE"""),2)</f>
        <v>2</v>
      </c>
      <c r="H1812" s="196"/>
      <c r="I1812" s="196"/>
      <c r="J1812" s="196"/>
      <c r="K1812" s="196"/>
      <c r="L1812" s="196" t="str">
        <v/>
      </c>
      <c r="M1812" s="196"/>
    </row>
    <row r="1813" spans="1:13" ht="14.4" x14ac:dyDescent="0.3">
      <c r="A1813" s="189" t="str">
        <f ca="1">IFERROR(__xludf.DUMMYFUNCTION("""COMPUTED_VALUE"""),"SHR")</f>
        <v>SHR</v>
      </c>
      <c r="B1813" s="195" t="str">
        <f ca="1">IFERROR(__xludf.DUMMYFUNCTION("""COMPUTED_VALUE"""),"Myla Metzger")</f>
        <v>Myla Metzger</v>
      </c>
      <c r="C1813" s="189">
        <f ca="1">IFERROR(__xludf.DUMMYFUNCTION("""COMPUTED_VALUE"""),8)</f>
        <v>8</v>
      </c>
      <c r="D1813" s="189" t="str">
        <f ca="1">IFERROR(__xludf.DUMMYFUNCTION("""COMPUTED_VALUE"""),"G")</f>
        <v>G</v>
      </c>
      <c r="E1813" s="189" t="str">
        <f ca="1">IFERROR(__xludf.DUMMYFUNCTION("""COMPUTED_VALUE"""),"F")</f>
        <v>F</v>
      </c>
      <c r="F1813" s="189" t="str">
        <f ca="1">IFERROR(__xludf.DUMMYFUNCTION("""COMPUTED_VALUE"""),"J")</f>
        <v>J</v>
      </c>
      <c r="G1813" s="189">
        <f ca="1">IFERROR(__xludf.DUMMYFUNCTION("""COMPUTED_VALUE"""),2)</f>
        <v>2</v>
      </c>
      <c r="H1813" s="196"/>
      <c r="I1813" s="196"/>
      <c r="J1813" s="196"/>
      <c r="K1813" s="196"/>
      <c r="L1813" s="196" t="str">
        <v/>
      </c>
      <c r="M1813" s="196"/>
    </row>
    <row r="1814" spans="1:13" ht="14.4" x14ac:dyDescent="0.3">
      <c r="A1814" s="189" t="str">
        <f ca="1">IFERROR(__xludf.DUMMYFUNCTION("""COMPUTED_VALUE"""),"SHR")</f>
        <v>SHR</v>
      </c>
      <c r="B1814" s="195" t="str">
        <f ca="1">IFERROR(__xludf.DUMMYFUNCTION("""COMPUTED_VALUE"""),"Nelly Vainsencher")</f>
        <v>Nelly Vainsencher</v>
      </c>
      <c r="C1814" s="189">
        <f ca="1">IFERROR(__xludf.DUMMYFUNCTION("""COMPUTED_VALUE"""),7)</f>
        <v>7</v>
      </c>
      <c r="D1814" s="189" t="str">
        <f ca="1">IFERROR(__xludf.DUMMYFUNCTION("""COMPUTED_VALUE"""),"G")</f>
        <v>G</v>
      </c>
      <c r="E1814" s="189" t="str">
        <f ca="1">IFERROR(__xludf.DUMMYFUNCTION("""COMPUTED_VALUE"""),"F")</f>
        <v>F</v>
      </c>
      <c r="F1814" s="189" t="str">
        <f ca="1">IFERROR(__xludf.DUMMYFUNCTION("""COMPUTED_VALUE"""),"J")</f>
        <v>J</v>
      </c>
      <c r="G1814" s="189">
        <f ca="1">IFERROR(__xludf.DUMMYFUNCTION("""COMPUTED_VALUE"""),2)</f>
        <v>2</v>
      </c>
      <c r="H1814" s="196"/>
      <c r="I1814" s="196"/>
      <c r="J1814" s="196"/>
      <c r="K1814" s="196"/>
      <c r="L1814" s="196" t="str">
        <v/>
      </c>
      <c r="M1814" s="196"/>
    </row>
    <row r="1815" spans="1:13" ht="14.4" x14ac:dyDescent="0.3">
      <c r="A1815" s="189" t="str">
        <f ca="1">IFERROR(__xludf.DUMMYFUNCTION("""COMPUTED_VALUE"""),"SHR")</f>
        <v>SHR</v>
      </c>
      <c r="B1815" s="195" t="str">
        <f ca="1">IFERROR(__xludf.DUMMYFUNCTION("""COMPUTED_VALUE"""),"Olivia Chen")</f>
        <v>Olivia Chen</v>
      </c>
      <c r="C1815" s="189">
        <f ca="1">IFERROR(__xludf.DUMMYFUNCTION("""COMPUTED_VALUE"""),9)</f>
        <v>9</v>
      </c>
      <c r="D1815" s="189" t="str">
        <f ca="1">IFERROR(__xludf.DUMMYFUNCTION("""COMPUTED_VALUE"""),"G")</f>
        <v>G</v>
      </c>
      <c r="E1815" s="189" t="str">
        <f ca="1">IFERROR(__xludf.DUMMYFUNCTION("""COMPUTED_VALUE"""),"F")</f>
        <v>F</v>
      </c>
      <c r="F1815" s="189" t="str">
        <f ca="1">IFERROR(__xludf.DUMMYFUNCTION("""COMPUTED_VALUE"""),"J")</f>
        <v>J</v>
      </c>
      <c r="G1815" s="189">
        <f ca="1">IFERROR(__xludf.DUMMYFUNCTION("""COMPUTED_VALUE"""),2)</f>
        <v>2</v>
      </c>
      <c r="H1815" s="196"/>
      <c r="I1815" s="196"/>
      <c r="J1815" s="196"/>
      <c r="K1815" s="196"/>
      <c r="L1815" s="196" t="str">
        <v/>
      </c>
      <c r="M1815" s="196"/>
    </row>
    <row r="1816" spans="1:13" ht="14.4" x14ac:dyDescent="0.3">
      <c r="A1816" s="189" t="str">
        <f ca="1">IFERROR(__xludf.DUMMYFUNCTION("""COMPUTED_VALUE"""),"SHR")</f>
        <v>SHR</v>
      </c>
      <c r="B1816" s="195" t="str">
        <f ca="1">IFERROR(__xludf.DUMMYFUNCTION("""COMPUTED_VALUE"""),"Penelope Hodgins")</f>
        <v>Penelope Hodgins</v>
      </c>
      <c r="C1816" s="189">
        <f ca="1">IFERROR(__xludf.DUMMYFUNCTION("""COMPUTED_VALUE"""),9)</f>
        <v>9</v>
      </c>
      <c r="D1816" s="189" t="str">
        <f ca="1">IFERROR(__xludf.DUMMYFUNCTION("""COMPUTED_VALUE"""),"G")</f>
        <v>G</v>
      </c>
      <c r="E1816" s="189" t="str">
        <f ca="1">IFERROR(__xludf.DUMMYFUNCTION("""COMPUTED_VALUE"""),"F")</f>
        <v>F</v>
      </c>
      <c r="F1816" s="189" t="str">
        <f ca="1">IFERROR(__xludf.DUMMYFUNCTION("""COMPUTED_VALUE"""),"J")</f>
        <v>J</v>
      </c>
      <c r="G1816" s="189">
        <f ca="1">IFERROR(__xludf.DUMMYFUNCTION("""COMPUTED_VALUE"""),2)</f>
        <v>2</v>
      </c>
      <c r="H1816" s="196"/>
      <c r="I1816" s="196"/>
      <c r="J1816" s="196"/>
      <c r="K1816" s="196"/>
      <c r="L1816" s="196" t="str">
        <v/>
      </c>
      <c r="M1816" s="196"/>
    </row>
    <row r="1817" spans="1:13" ht="14.4" x14ac:dyDescent="0.3">
      <c r="A1817" s="189" t="str">
        <f ca="1">IFERROR(__xludf.DUMMYFUNCTION("""COMPUTED_VALUE"""),"SHR")</f>
        <v>SHR</v>
      </c>
      <c r="B1817" s="195" t="str">
        <f ca="1">IFERROR(__xludf.DUMMYFUNCTION("""COMPUTED_VALUE"""),"Rosie Richardson")</f>
        <v>Rosie Richardson</v>
      </c>
      <c r="C1817" s="189">
        <f ca="1">IFERROR(__xludf.DUMMYFUNCTION("""COMPUTED_VALUE"""),8)</f>
        <v>8</v>
      </c>
      <c r="D1817" s="189" t="str">
        <f ca="1">IFERROR(__xludf.DUMMYFUNCTION("""COMPUTED_VALUE"""),"G")</f>
        <v>G</v>
      </c>
      <c r="E1817" s="189" t="str">
        <f ca="1">IFERROR(__xludf.DUMMYFUNCTION("""COMPUTED_VALUE"""),"F")</f>
        <v>F</v>
      </c>
      <c r="F1817" s="189" t="str">
        <f ca="1">IFERROR(__xludf.DUMMYFUNCTION("""COMPUTED_VALUE"""),"J")</f>
        <v>J</v>
      </c>
      <c r="G1817" s="189">
        <f ca="1">IFERROR(__xludf.DUMMYFUNCTION("""COMPUTED_VALUE"""),2)</f>
        <v>2</v>
      </c>
      <c r="H1817" s="196"/>
      <c r="I1817" s="196"/>
      <c r="J1817" s="196"/>
      <c r="K1817" s="196"/>
      <c r="L1817" s="196" t="str">
        <v/>
      </c>
      <c r="M1817" s="196"/>
    </row>
    <row r="1818" spans="1:13" ht="14.4" x14ac:dyDescent="0.3">
      <c r="A1818" s="189" t="str">
        <f ca="1">IFERROR(__xludf.DUMMYFUNCTION("""COMPUTED_VALUE"""),"SHR")</f>
        <v>SHR</v>
      </c>
      <c r="B1818" s="195" t="str">
        <f ca="1">IFERROR(__xludf.DUMMYFUNCTION("""COMPUTED_VALUE"""),"Sadie Parr")</f>
        <v>Sadie Parr</v>
      </c>
      <c r="C1818" s="189">
        <f ca="1">IFERROR(__xludf.DUMMYFUNCTION("""COMPUTED_VALUE"""),8)</f>
        <v>8</v>
      </c>
      <c r="D1818" s="189" t="str">
        <f ca="1">IFERROR(__xludf.DUMMYFUNCTION("""COMPUTED_VALUE"""),"G")</f>
        <v>G</v>
      </c>
      <c r="E1818" s="189" t="str">
        <f ca="1">IFERROR(__xludf.DUMMYFUNCTION("""COMPUTED_VALUE"""),"F")</f>
        <v>F</v>
      </c>
      <c r="F1818" s="189" t="str">
        <f ca="1">IFERROR(__xludf.DUMMYFUNCTION("""COMPUTED_VALUE"""),"J")</f>
        <v>J</v>
      </c>
      <c r="G1818" s="189">
        <f ca="1">IFERROR(__xludf.DUMMYFUNCTION("""COMPUTED_VALUE"""),2)</f>
        <v>2</v>
      </c>
      <c r="H1818" s="196"/>
      <c r="I1818" s="196"/>
      <c r="J1818" s="196"/>
      <c r="K1818" s="196"/>
      <c r="L1818" s="196" t="str">
        <v/>
      </c>
      <c r="M1818" s="196"/>
    </row>
    <row r="1819" spans="1:13" ht="14.4" x14ac:dyDescent="0.3">
      <c r="A1819" s="189" t="str">
        <f ca="1">IFERROR(__xludf.DUMMYFUNCTION("""COMPUTED_VALUE"""),"SHR")</f>
        <v>SHR</v>
      </c>
      <c r="B1819" s="195" t="str">
        <f ca="1">IFERROR(__xludf.DUMMYFUNCTION("""COMPUTED_VALUE"""),"Sawyer Rascona")</f>
        <v>Sawyer Rascona</v>
      </c>
      <c r="C1819" s="189">
        <f ca="1">IFERROR(__xludf.DUMMYFUNCTION("""COMPUTED_VALUE"""),8)</f>
        <v>8</v>
      </c>
      <c r="D1819" s="189" t="str">
        <f ca="1">IFERROR(__xludf.DUMMYFUNCTION("""COMPUTED_VALUE"""),"G")</f>
        <v>G</v>
      </c>
      <c r="E1819" s="189" t="str">
        <f ca="1">IFERROR(__xludf.DUMMYFUNCTION("""COMPUTED_VALUE"""),"F")</f>
        <v>F</v>
      </c>
      <c r="F1819" s="189" t="str">
        <f ca="1">IFERROR(__xludf.DUMMYFUNCTION("""COMPUTED_VALUE"""),"J")</f>
        <v>J</v>
      </c>
      <c r="G1819" s="189">
        <f ca="1">IFERROR(__xludf.DUMMYFUNCTION("""COMPUTED_VALUE"""),2)</f>
        <v>2</v>
      </c>
      <c r="H1819" s="196"/>
      <c r="I1819" s="196"/>
      <c r="J1819" s="196"/>
      <c r="K1819" s="196"/>
      <c r="L1819" s="196" t="str">
        <v/>
      </c>
      <c r="M1819" s="196"/>
    </row>
    <row r="1820" spans="1:13" ht="14.4" x14ac:dyDescent="0.3">
      <c r="A1820" s="189" t="str">
        <f ca="1">IFERROR(__xludf.DUMMYFUNCTION("""COMPUTED_VALUE"""),"SHR")</f>
        <v>SHR</v>
      </c>
      <c r="B1820" s="195" t="str">
        <f ca="1">IFERROR(__xludf.DUMMYFUNCTION("""COMPUTED_VALUE"""),"Sierra Jackson")</f>
        <v>Sierra Jackson</v>
      </c>
      <c r="C1820" s="189">
        <f ca="1">IFERROR(__xludf.DUMMYFUNCTION("""COMPUTED_VALUE"""),8)</f>
        <v>8</v>
      </c>
      <c r="D1820" s="189" t="str">
        <f ca="1">IFERROR(__xludf.DUMMYFUNCTION("""COMPUTED_VALUE"""),"G")</f>
        <v>G</v>
      </c>
      <c r="E1820" s="189" t="str">
        <f ca="1">IFERROR(__xludf.DUMMYFUNCTION("""COMPUTED_VALUE"""),"F")</f>
        <v>F</v>
      </c>
      <c r="F1820" s="189" t="str">
        <f ca="1">IFERROR(__xludf.DUMMYFUNCTION("""COMPUTED_VALUE"""),"J")</f>
        <v>J</v>
      </c>
      <c r="G1820" s="189">
        <f ca="1">IFERROR(__xludf.DUMMYFUNCTION("""COMPUTED_VALUE"""),2)</f>
        <v>2</v>
      </c>
      <c r="H1820" s="196"/>
      <c r="I1820" s="196"/>
      <c r="J1820" s="196"/>
      <c r="K1820" s="196"/>
      <c r="L1820" s="196" t="str">
        <v/>
      </c>
      <c r="M1820" s="196"/>
    </row>
    <row r="1821" spans="1:13" ht="14.4" x14ac:dyDescent="0.3">
      <c r="A1821" s="189" t="str">
        <f ca="1">IFERROR(__xludf.DUMMYFUNCTION("""COMPUTED_VALUE"""),"SHR")</f>
        <v>SHR</v>
      </c>
      <c r="B1821" s="195" t="str">
        <f ca="1">IFERROR(__xludf.DUMMYFUNCTION("""COMPUTED_VALUE"""),"Sydney White")</f>
        <v>Sydney White</v>
      </c>
      <c r="C1821" s="189">
        <f ca="1">IFERROR(__xludf.DUMMYFUNCTION("""COMPUTED_VALUE"""),7)</f>
        <v>7</v>
      </c>
      <c r="D1821" s="189" t="str">
        <f ca="1">IFERROR(__xludf.DUMMYFUNCTION("""COMPUTED_VALUE"""),"G")</f>
        <v>G</v>
      </c>
      <c r="E1821" s="189" t="str">
        <f ca="1">IFERROR(__xludf.DUMMYFUNCTION("""COMPUTED_VALUE"""),"F")</f>
        <v>F</v>
      </c>
      <c r="F1821" s="189" t="str">
        <f ca="1">IFERROR(__xludf.DUMMYFUNCTION("""COMPUTED_VALUE"""),"J")</f>
        <v>J</v>
      </c>
      <c r="G1821" s="189">
        <f ca="1">IFERROR(__xludf.DUMMYFUNCTION("""COMPUTED_VALUE"""),2)</f>
        <v>2</v>
      </c>
      <c r="H1821" s="196"/>
      <c r="I1821" s="196"/>
      <c r="J1821" s="196"/>
      <c r="K1821" s="196"/>
      <c r="L1821" s="196" t="str">
        <v/>
      </c>
      <c r="M1821" s="196"/>
    </row>
    <row r="1822" spans="1:13" ht="14.4" x14ac:dyDescent="0.3">
      <c r="A1822" s="189" t="str">
        <f ca="1">IFERROR(__xludf.DUMMYFUNCTION("""COMPUTED_VALUE"""),"SHR")</f>
        <v>SHR</v>
      </c>
      <c r="B1822" s="195" t="str">
        <f ca="1">IFERROR(__xludf.DUMMYFUNCTION("""COMPUTED_VALUE"""),"Tess Coleson")</f>
        <v>Tess Coleson</v>
      </c>
      <c r="C1822" s="189">
        <f ca="1">IFERROR(__xludf.DUMMYFUNCTION("""COMPUTED_VALUE"""),7)</f>
        <v>7</v>
      </c>
      <c r="D1822" s="189" t="str">
        <f ca="1">IFERROR(__xludf.DUMMYFUNCTION("""COMPUTED_VALUE"""),"G")</f>
        <v>G</v>
      </c>
      <c r="E1822" s="189" t="str">
        <f ca="1">IFERROR(__xludf.DUMMYFUNCTION("""COMPUTED_VALUE"""),"F")</f>
        <v>F</v>
      </c>
      <c r="F1822" s="189" t="str">
        <f ca="1">IFERROR(__xludf.DUMMYFUNCTION("""COMPUTED_VALUE"""),"J")</f>
        <v>J</v>
      </c>
      <c r="G1822" s="189">
        <f ca="1">IFERROR(__xludf.DUMMYFUNCTION("""COMPUTED_VALUE"""),2)</f>
        <v>2</v>
      </c>
      <c r="H1822" s="196"/>
      <c r="I1822" s="196"/>
      <c r="J1822" s="196"/>
      <c r="K1822" s="196"/>
      <c r="L1822" s="196" t="str">
        <v/>
      </c>
      <c r="M1822" s="196"/>
    </row>
    <row r="1823" spans="1:13" ht="14.4" x14ac:dyDescent="0.3">
      <c r="A1823" s="189" t="str">
        <f ca="1">IFERROR(__xludf.DUMMYFUNCTION("""COMPUTED_VALUE"""),"SHR")</f>
        <v>SHR</v>
      </c>
      <c r="B1823" s="195" t="str">
        <f ca="1">IFERROR(__xludf.DUMMYFUNCTION("""COMPUTED_VALUE"""),"Cormac DiVincenzo")</f>
        <v>Cormac DiVincenzo</v>
      </c>
      <c r="C1823" s="189">
        <f ca="1">IFERROR(__xludf.DUMMYFUNCTION("""COMPUTED_VALUE"""),6)</f>
        <v>6</v>
      </c>
      <c r="D1823" s="189" t="str">
        <f ca="1">IFERROR(__xludf.DUMMYFUNCTION("""COMPUTED_VALUE"""),"B")</f>
        <v>B</v>
      </c>
      <c r="E1823" s="189" t="str">
        <f ca="1">IFERROR(__xludf.DUMMYFUNCTION("""COMPUTED_VALUE"""),"F")</f>
        <v>F</v>
      </c>
      <c r="F1823" s="189" t="str">
        <f ca="1">IFERROR(__xludf.DUMMYFUNCTION("""COMPUTED_VALUE"""),"J")</f>
        <v>J</v>
      </c>
      <c r="G1823" s="189">
        <f ca="1">IFERROR(__xludf.DUMMYFUNCTION("""COMPUTED_VALUE"""),2)</f>
        <v>2</v>
      </c>
      <c r="H1823" s="196"/>
      <c r="I1823" s="196"/>
      <c r="J1823" s="196"/>
      <c r="K1823" s="196"/>
      <c r="L1823" s="196" t="str">
        <v/>
      </c>
      <c r="M1823" s="196"/>
    </row>
    <row r="1824" spans="1:13" ht="14.4" x14ac:dyDescent="0.3">
      <c r="A1824" s="189" t="str">
        <f ca="1">IFERROR(__xludf.DUMMYFUNCTION("""COMPUTED_VALUE"""),"SHR")</f>
        <v>SHR</v>
      </c>
      <c r="B1824" s="195" t="str">
        <f ca="1">IFERROR(__xludf.DUMMYFUNCTION("""COMPUTED_VALUE"""),"Gabriel Fernandez")</f>
        <v>Gabriel Fernandez</v>
      </c>
      <c r="C1824" s="189">
        <f ca="1">IFERROR(__xludf.DUMMYFUNCTION("""COMPUTED_VALUE"""),8)</f>
        <v>8</v>
      </c>
      <c r="D1824" s="189" t="str">
        <f ca="1">IFERROR(__xludf.DUMMYFUNCTION("""COMPUTED_VALUE"""),"B")</f>
        <v>B</v>
      </c>
      <c r="E1824" s="189" t="str">
        <f ca="1">IFERROR(__xludf.DUMMYFUNCTION("""COMPUTED_VALUE"""),"F")</f>
        <v>F</v>
      </c>
      <c r="F1824" s="189" t="str">
        <f ca="1">IFERROR(__xludf.DUMMYFUNCTION("""COMPUTED_VALUE"""),"J")</f>
        <v>J</v>
      </c>
      <c r="G1824" s="189">
        <f ca="1">IFERROR(__xludf.DUMMYFUNCTION("""COMPUTED_VALUE"""),2)</f>
        <v>2</v>
      </c>
      <c r="H1824" s="196"/>
      <c r="I1824" s="196"/>
      <c r="J1824" s="196"/>
      <c r="K1824" s="196"/>
      <c r="L1824" s="196" t="str">
        <v/>
      </c>
      <c r="M1824" s="196"/>
    </row>
    <row r="1825" spans="1:13" ht="14.4" x14ac:dyDescent="0.3">
      <c r="A1825" s="189" t="str">
        <f ca="1">IFERROR(__xludf.DUMMYFUNCTION("""COMPUTED_VALUE"""),"SHR")</f>
        <v>SHR</v>
      </c>
      <c r="B1825" s="195" t="str">
        <f ca="1">IFERROR(__xludf.DUMMYFUNCTION("""COMPUTED_VALUE"""),"Garrison Glasford")</f>
        <v>Garrison Glasford</v>
      </c>
      <c r="C1825" s="189">
        <f ca="1">IFERROR(__xludf.DUMMYFUNCTION("""COMPUTED_VALUE"""),7)</f>
        <v>7</v>
      </c>
      <c r="D1825" s="189" t="str">
        <f ca="1">IFERROR(__xludf.DUMMYFUNCTION("""COMPUTED_VALUE"""),"B")</f>
        <v>B</v>
      </c>
      <c r="E1825" s="189" t="str">
        <f ca="1">IFERROR(__xludf.DUMMYFUNCTION("""COMPUTED_VALUE"""),"F")</f>
        <v>F</v>
      </c>
      <c r="F1825" s="189" t="str">
        <f ca="1">IFERROR(__xludf.DUMMYFUNCTION("""COMPUTED_VALUE"""),"J")</f>
        <v>J</v>
      </c>
      <c r="G1825" s="189">
        <f ca="1">IFERROR(__xludf.DUMMYFUNCTION("""COMPUTED_VALUE"""),2)</f>
        <v>2</v>
      </c>
      <c r="H1825" s="196"/>
      <c r="I1825" s="196"/>
      <c r="J1825" s="196"/>
      <c r="K1825" s="196"/>
      <c r="L1825" s="196" t="str">
        <v/>
      </c>
      <c r="M1825" s="196"/>
    </row>
    <row r="1826" spans="1:13" ht="14.4" x14ac:dyDescent="0.3">
      <c r="A1826" s="189" t="str">
        <f ca="1">IFERROR(__xludf.DUMMYFUNCTION("""COMPUTED_VALUE"""),"SHR")</f>
        <v>SHR</v>
      </c>
      <c r="B1826" s="195" t="str">
        <f ca="1">IFERROR(__xludf.DUMMYFUNCTION("""COMPUTED_VALUE"""),"Hayes Miller")</f>
        <v>Hayes Miller</v>
      </c>
      <c r="C1826" s="189">
        <f ca="1">IFERROR(__xludf.DUMMYFUNCTION("""COMPUTED_VALUE"""),6)</f>
        <v>6</v>
      </c>
      <c r="D1826" s="189" t="str">
        <f ca="1">IFERROR(__xludf.DUMMYFUNCTION("""COMPUTED_VALUE"""),"B")</f>
        <v>B</v>
      </c>
      <c r="E1826" s="189" t="str">
        <f ca="1">IFERROR(__xludf.DUMMYFUNCTION("""COMPUTED_VALUE"""),"F")</f>
        <v>F</v>
      </c>
      <c r="F1826" s="189" t="str">
        <f ca="1">IFERROR(__xludf.DUMMYFUNCTION("""COMPUTED_VALUE"""),"J")</f>
        <v>J</v>
      </c>
      <c r="G1826" s="189">
        <f ca="1">IFERROR(__xludf.DUMMYFUNCTION("""COMPUTED_VALUE"""),2)</f>
        <v>2</v>
      </c>
      <c r="H1826" s="196"/>
      <c r="I1826" s="196"/>
      <c r="J1826" s="196"/>
      <c r="K1826" s="196"/>
      <c r="L1826" s="196" t="str">
        <v/>
      </c>
      <c r="M1826" s="196"/>
    </row>
    <row r="1827" spans="1:13" ht="14.4" x14ac:dyDescent="0.3">
      <c r="A1827" s="189" t="str">
        <f ca="1">IFERROR(__xludf.DUMMYFUNCTION("""COMPUTED_VALUE"""),"SHR")</f>
        <v>SHR</v>
      </c>
      <c r="B1827" s="195" t="str">
        <f ca="1">IFERROR(__xludf.DUMMYFUNCTION("""COMPUTED_VALUE"""),"Henry Wisniewski")</f>
        <v>Henry Wisniewski</v>
      </c>
      <c r="C1827" s="189">
        <f ca="1">IFERROR(__xludf.DUMMYFUNCTION("""COMPUTED_VALUE"""),8)</f>
        <v>8</v>
      </c>
      <c r="D1827" s="189" t="str">
        <f ca="1">IFERROR(__xludf.DUMMYFUNCTION("""COMPUTED_VALUE"""),"B")</f>
        <v>B</v>
      </c>
      <c r="E1827" s="189" t="str">
        <f ca="1">IFERROR(__xludf.DUMMYFUNCTION("""COMPUTED_VALUE"""),"F")</f>
        <v>F</v>
      </c>
      <c r="F1827" s="189" t="str">
        <f ca="1">IFERROR(__xludf.DUMMYFUNCTION("""COMPUTED_VALUE"""),"J")</f>
        <v>J</v>
      </c>
      <c r="G1827" s="189">
        <f ca="1">IFERROR(__xludf.DUMMYFUNCTION("""COMPUTED_VALUE"""),2)</f>
        <v>2</v>
      </c>
      <c r="H1827" s="196"/>
      <c r="I1827" s="196"/>
      <c r="J1827" s="196"/>
      <c r="K1827" s="196"/>
      <c r="L1827" s="196" t="str">
        <v/>
      </c>
      <c r="M1827" s="196"/>
    </row>
    <row r="1828" spans="1:13" ht="14.4" x14ac:dyDescent="0.3">
      <c r="A1828" s="189" t="str">
        <f ca="1">IFERROR(__xludf.DUMMYFUNCTION("""COMPUTED_VALUE"""),"SHR")</f>
        <v>SHR</v>
      </c>
      <c r="B1828" s="195" t="str">
        <f ca="1">IFERROR(__xludf.DUMMYFUNCTION("""COMPUTED_VALUE"""),"Keone Sheriff")</f>
        <v>Keone Sheriff</v>
      </c>
      <c r="C1828" s="189">
        <f ca="1">IFERROR(__xludf.DUMMYFUNCTION("""COMPUTED_VALUE"""),6)</f>
        <v>6</v>
      </c>
      <c r="D1828" s="189" t="str">
        <f ca="1">IFERROR(__xludf.DUMMYFUNCTION("""COMPUTED_VALUE"""),"B")</f>
        <v>B</v>
      </c>
      <c r="E1828" s="189" t="str">
        <f ca="1">IFERROR(__xludf.DUMMYFUNCTION("""COMPUTED_VALUE"""),"F")</f>
        <v>F</v>
      </c>
      <c r="F1828" s="189" t="str">
        <f ca="1">IFERROR(__xludf.DUMMYFUNCTION("""COMPUTED_VALUE"""),"J")</f>
        <v>J</v>
      </c>
      <c r="G1828" s="189">
        <f ca="1">IFERROR(__xludf.DUMMYFUNCTION("""COMPUTED_VALUE"""),2)</f>
        <v>2</v>
      </c>
      <c r="H1828" s="196"/>
      <c r="I1828" s="196"/>
      <c r="J1828" s="196"/>
      <c r="K1828" s="196"/>
      <c r="L1828" s="196" t="str">
        <v/>
      </c>
      <c r="M1828" s="196"/>
    </row>
    <row r="1829" spans="1:13" ht="14.4" x14ac:dyDescent="0.3">
      <c r="A1829" s="189" t="str">
        <f ca="1">IFERROR(__xludf.DUMMYFUNCTION("""COMPUTED_VALUE"""),"SHR")</f>
        <v>SHR</v>
      </c>
      <c r="B1829" s="195" t="str">
        <f ca="1">IFERROR(__xludf.DUMMYFUNCTION("""COMPUTED_VALUE"""),"Liam Ross")</f>
        <v>Liam Ross</v>
      </c>
      <c r="C1829" s="189">
        <f ca="1">IFERROR(__xludf.DUMMYFUNCTION("""COMPUTED_VALUE"""),10)</f>
        <v>10</v>
      </c>
      <c r="D1829" s="189" t="str">
        <f ca="1">IFERROR(__xludf.DUMMYFUNCTION("""COMPUTED_VALUE"""),"B")</f>
        <v>B</v>
      </c>
      <c r="E1829" s="189" t="str">
        <f ca="1">IFERROR(__xludf.DUMMYFUNCTION("""COMPUTED_VALUE"""),"F")</f>
        <v>F</v>
      </c>
      <c r="F1829" s="189" t="str">
        <f ca="1">IFERROR(__xludf.DUMMYFUNCTION("""COMPUTED_VALUE"""),"J")</f>
        <v>J</v>
      </c>
      <c r="G1829" s="189">
        <f ca="1">IFERROR(__xludf.DUMMYFUNCTION("""COMPUTED_VALUE"""),2)</f>
        <v>2</v>
      </c>
      <c r="H1829" s="196" t="s">
        <v>741</v>
      </c>
      <c r="I1829" s="196"/>
      <c r="J1829" s="196" t="s">
        <v>29</v>
      </c>
      <c r="K1829" s="196"/>
      <c r="L1829" s="196" t="str">
        <v xml:space="preserve"> 77.90</v>
      </c>
      <c r="M1829" s="196"/>
    </row>
    <row r="1830" spans="1:13" ht="14.4" x14ac:dyDescent="0.3">
      <c r="A1830" s="189" t="str">
        <f ca="1">IFERROR(__xludf.DUMMYFUNCTION("""COMPUTED_VALUE"""),"SHR")</f>
        <v>SHR</v>
      </c>
      <c r="B1830" s="195" t="str">
        <f ca="1">IFERROR(__xludf.DUMMYFUNCTION("""COMPUTED_VALUE"""),"Louie Marra")</f>
        <v>Louie Marra</v>
      </c>
      <c r="C1830" s="189">
        <f ca="1">IFERROR(__xludf.DUMMYFUNCTION("""COMPUTED_VALUE"""),9)</f>
        <v>9</v>
      </c>
      <c r="D1830" s="189" t="str">
        <f ca="1">IFERROR(__xludf.DUMMYFUNCTION("""COMPUTED_VALUE"""),"B")</f>
        <v>B</v>
      </c>
      <c r="E1830" s="189" t="str">
        <f ca="1">IFERROR(__xludf.DUMMYFUNCTION("""COMPUTED_VALUE"""),"F")</f>
        <v>F</v>
      </c>
      <c r="F1830" s="189" t="str">
        <f ca="1">IFERROR(__xludf.DUMMYFUNCTION("""COMPUTED_VALUE"""),"J")</f>
        <v>J</v>
      </c>
      <c r="G1830" s="189">
        <f ca="1">IFERROR(__xludf.DUMMYFUNCTION("""COMPUTED_VALUE"""),2)</f>
        <v>2</v>
      </c>
      <c r="H1830" s="196" t="s">
        <v>742</v>
      </c>
      <c r="I1830" s="196"/>
      <c r="J1830" s="196" t="s">
        <v>29</v>
      </c>
      <c r="K1830" s="196"/>
      <c r="L1830" s="196" t="str">
        <v xml:space="preserve"> 60.60</v>
      </c>
      <c r="M1830" s="196"/>
    </row>
    <row r="1831" spans="1:13" ht="14.4" x14ac:dyDescent="0.3">
      <c r="A1831" s="189" t="str">
        <f ca="1">IFERROR(__xludf.DUMMYFUNCTION("""COMPUTED_VALUE"""),"SHR")</f>
        <v>SHR</v>
      </c>
      <c r="B1831" s="195" t="str">
        <f ca="1">IFERROR(__xludf.DUMMYFUNCTION("""COMPUTED_VALUE"""),"Samyar Khodabandeh")</f>
        <v>Samyar Khodabandeh</v>
      </c>
      <c r="C1831" s="189">
        <f ca="1">IFERROR(__xludf.DUMMYFUNCTION("""COMPUTED_VALUE"""),8)</f>
        <v>8</v>
      </c>
      <c r="D1831" s="189" t="str">
        <f ca="1">IFERROR(__xludf.DUMMYFUNCTION("""COMPUTED_VALUE"""),"B")</f>
        <v>B</v>
      </c>
      <c r="E1831" s="189" t="str">
        <f ca="1">IFERROR(__xludf.DUMMYFUNCTION("""COMPUTED_VALUE"""),"F")</f>
        <v>F</v>
      </c>
      <c r="F1831" s="189" t="str">
        <f ca="1">IFERROR(__xludf.DUMMYFUNCTION("""COMPUTED_VALUE"""),"J")</f>
        <v>J</v>
      </c>
      <c r="G1831" s="189">
        <f ca="1">IFERROR(__xludf.DUMMYFUNCTION("""COMPUTED_VALUE"""),2)</f>
        <v>2</v>
      </c>
      <c r="H1831" s="196"/>
      <c r="I1831" s="196"/>
      <c r="J1831" s="196"/>
      <c r="K1831" s="196"/>
      <c r="L1831" s="196" t="str">
        <v/>
      </c>
      <c r="M1831" s="196"/>
    </row>
    <row r="1832" spans="1:13" ht="14.4" x14ac:dyDescent="0.3">
      <c r="A1832" s="189" t="str">
        <f ca="1">IFERROR(__xludf.DUMMYFUNCTION("""COMPUTED_VALUE"""),"SHR")</f>
        <v>SHR</v>
      </c>
      <c r="B1832" s="195" t="str">
        <f ca="1">IFERROR(__xludf.DUMMYFUNCTION("""COMPUTED_VALUE"""),"Sawyer Wichert")</f>
        <v>Sawyer Wichert</v>
      </c>
      <c r="C1832" s="189">
        <f ca="1">IFERROR(__xludf.DUMMYFUNCTION("""COMPUTED_VALUE"""),10)</f>
        <v>10</v>
      </c>
      <c r="D1832" s="189" t="str">
        <f ca="1">IFERROR(__xludf.DUMMYFUNCTION("""COMPUTED_VALUE"""),"B")</f>
        <v>B</v>
      </c>
      <c r="E1832" s="189" t="str">
        <f ca="1">IFERROR(__xludf.DUMMYFUNCTION("""COMPUTED_VALUE"""),"F")</f>
        <v>F</v>
      </c>
      <c r="F1832" s="189" t="str">
        <f ca="1">IFERROR(__xludf.DUMMYFUNCTION("""COMPUTED_VALUE"""),"J")</f>
        <v>J</v>
      </c>
      <c r="G1832" s="189">
        <f ca="1">IFERROR(__xludf.DUMMYFUNCTION("""COMPUTED_VALUE"""),2)</f>
        <v>2</v>
      </c>
      <c r="H1832" s="196" t="s">
        <v>743</v>
      </c>
      <c r="I1832" s="196"/>
      <c r="J1832" s="196" t="s">
        <v>29</v>
      </c>
      <c r="K1832" s="196"/>
      <c r="L1832" s="196" t="str">
        <v xml:space="preserve"> 40.55</v>
      </c>
      <c r="M1832" s="196"/>
    </row>
    <row r="1833" spans="1:13" ht="14.4" x14ac:dyDescent="0.3">
      <c r="A1833" s="189" t="str">
        <f ca="1">IFERROR(__xludf.DUMMYFUNCTION("""COMPUTED_VALUE"""),"SHR")</f>
        <v>SHR</v>
      </c>
      <c r="B1833" s="195" t="str">
        <f ca="1">IFERROR(__xludf.DUMMYFUNCTION("""COMPUTED_VALUE"""),"Shepard Whatley")</f>
        <v>Shepard Whatley</v>
      </c>
      <c r="C1833" s="189">
        <f ca="1">IFERROR(__xludf.DUMMYFUNCTION("""COMPUTED_VALUE"""),7)</f>
        <v>7</v>
      </c>
      <c r="D1833" s="189" t="str">
        <f ca="1">IFERROR(__xludf.DUMMYFUNCTION("""COMPUTED_VALUE"""),"B")</f>
        <v>B</v>
      </c>
      <c r="E1833" s="189" t="str">
        <f ca="1">IFERROR(__xludf.DUMMYFUNCTION("""COMPUTED_VALUE"""),"F")</f>
        <v>F</v>
      </c>
      <c r="F1833" s="189" t="str">
        <f ca="1">IFERROR(__xludf.DUMMYFUNCTION("""COMPUTED_VALUE"""),"J")</f>
        <v>J</v>
      </c>
      <c r="G1833" s="189">
        <f ca="1">IFERROR(__xludf.DUMMYFUNCTION("""COMPUTED_VALUE"""),2)</f>
        <v>2</v>
      </c>
      <c r="H1833" s="196"/>
      <c r="I1833" s="196"/>
      <c r="J1833" s="196"/>
      <c r="K1833" s="196"/>
      <c r="L1833" s="196" t="str">
        <v/>
      </c>
      <c r="M1833" s="196"/>
    </row>
    <row r="1834" spans="1:13" ht="14.4" x14ac:dyDescent="0.3">
      <c r="A1834" s="189" t="str">
        <f ca="1">IFERROR(__xludf.DUMMYFUNCTION("""COMPUTED_VALUE"""),"SHR")</f>
        <v>SHR</v>
      </c>
      <c r="B1834" s="195" t="str">
        <f ca="1">IFERROR(__xludf.DUMMYFUNCTION("""COMPUTED_VALUE"""),"Soren Khodabandeh")</f>
        <v>Soren Khodabandeh</v>
      </c>
      <c r="C1834" s="189">
        <f ca="1">IFERROR(__xludf.DUMMYFUNCTION("""COMPUTED_VALUE"""),6)</f>
        <v>6</v>
      </c>
      <c r="D1834" s="189" t="str">
        <f ca="1">IFERROR(__xludf.DUMMYFUNCTION("""COMPUTED_VALUE"""),"B")</f>
        <v>B</v>
      </c>
      <c r="E1834" s="189" t="str">
        <f ca="1">IFERROR(__xludf.DUMMYFUNCTION("""COMPUTED_VALUE"""),"F")</f>
        <v>F</v>
      </c>
      <c r="F1834" s="189" t="str">
        <f ca="1">IFERROR(__xludf.DUMMYFUNCTION("""COMPUTED_VALUE"""),"J")</f>
        <v>J</v>
      </c>
      <c r="G1834" s="189">
        <f ca="1">IFERROR(__xludf.DUMMYFUNCTION("""COMPUTED_VALUE"""),2)</f>
        <v>2</v>
      </c>
      <c r="H1834" s="196"/>
      <c r="I1834" s="196"/>
      <c r="J1834" s="196"/>
      <c r="K1834" s="196"/>
      <c r="L1834" s="196" t="str">
        <v/>
      </c>
      <c r="M1834" s="196"/>
    </row>
    <row r="1835" spans="1:13" ht="14.4" x14ac:dyDescent="0.3">
      <c r="A1835" s="189" t="str">
        <f ca="1">IFERROR(__xludf.DUMMYFUNCTION("""COMPUTED_VALUE"""),"SHR")</f>
        <v>SHR</v>
      </c>
      <c r="B1835" s="195" t="str">
        <f ca="1">IFERROR(__xludf.DUMMYFUNCTION("""COMPUTED_VALUE"""),"Stanley Hopwood")</f>
        <v>Stanley Hopwood</v>
      </c>
      <c r="C1835" s="189">
        <f ca="1">IFERROR(__xludf.DUMMYFUNCTION("""COMPUTED_VALUE"""),10)</f>
        <v>10</v>
      </c>
      <c r="D1835" s="189" t="str">
        <f ca="1">IFERROR(__xludf.DUMMYFUNCTION("""COMPUTED_VALUE"""),"B")</f>
        <v>B</v>
      </c>
      <c r="E1835" s="189" t="str">
        <f ca="1">IFERROR(__xludf.DUMMYFUNCTION("""COMPUTED_VALUE"""),"F")</f>
        <v>F</v>
      </c>
      <c r="F1835" s="189" t="str">
        <f ca="1">IFERROR(__xludf.DUMMYFUNCTION("""COMPUTED_VALUE"""),"J")</f>
        <v>J</v>
      </c>
      <c r="G1835" s="189">
        <f ca="1">IFERROR(__xludf.DUMMYFUNCTION("""COMPUTED_VALUE"""),2)</f>
        <v>2</v>
      </c>
      <c r="H1835" s="196" t="s">
        <v>744</v>
      </c>
      <c r="I1835" s="196"/>
      <c r="J1835" s="196" t="s">
        <v>29</v>
      </c>
      <c r="K1835" s="196"/>
      <c r="L1835" s="196" t="str">
        <v xml:space="preserve"> 48.90</v>
      </c>
      <c r="M1835" s="196"/>
    </row>
    <row r="1836" spans="1:13" ht="14.4" x14ac:dyDescent="0.3">
      <c r="A1836" s="189" t="str">
        <f ca="1">IFERROR(__xludf.DUMMYFUNCTION("""COMPUTED_VALUE"""),"SHR")</f>
        <v>SHR</v>
      </c>
      <c r="B1836" s="195" t="str">
        <f ca="1">IFERROR(__xludf.DUMMYFUNCTION("""COMPUTED_VALUE"""),"Tripp Walter")</f>
        <v>Tripp Walter</v>
      </c>
      <c r="C1836" s="189">
        <f ca="1">IFERROR(__xludf.DUMMYFUNCTION("""COMPUTED_VALUE"""),9)</f>
        <v>9</v>
      </c>
      <c r="D1836" s="189" t="str">
        <f ca="1">IFERROR(__xludf.DUMMYFUNCTION("""COMPUTED_VALUE"""),"B")</f>
        <v>B</v>
      </c>
      <c r="E1836" s="189" t="str">
        <f ca="1">IFERROR(__xludf.DUMMYFUNCTION("""COMPUTED_VALUE"""),"F")</f>
        <v>F</v>
      </c>
      <c r="F1836" s="189" t="str">
        <f ca="1">IFERROR(__xludf.DUMMYFUNCTION("""COMPUTED_VALUE"""),"J")</f>
        <v>J</v>
      </c>
      <c r="G1836" s="189">
        <f ca="1">IFERROR(__xludf.DUMMYFUNCTION("""COMPUTED_VALUE"""),2)</f>
        <v>2</v>
      </c>
      <c r="H1836" s="196"/>
      <c r="I1836" s="196"/>
      <c r="J1836" s="196"/>
      <c r="K1836" s="196"/>
      <c r="L1836" s="196" t="str">
        <v/>
      </c>
      <c r="M1836" s="196"/>
    </row>
    <row r="1837" spans="1:13" ht="14.4" x14ac:dyDescent="0.3">
      <c r="A1837" s="189" t="str">
        <f ca="1">IFERROR(__xludf.DUMMYFUNCTION("""COMPUTED_VALUE"""),"SHR")</f>
        <v>SHR</v>
      </c>
      <c r="B1837" s="195" t="str">
        <f ca="1">IFERROR(__xludf.DUMMYFUNCTION("""COMPUTED_VALUE"""),"Wade Squire")</f>
        <v>Wade Squire</v>
      </c>
      <c r="C1837" s="189">
        <f ca="1">IFERROR(__xludf.DUMMYFUNCTION("""COMPUTED_VALUE"""),10)</f>
        <v>10</v>
      </c>
      <c r="D1837" s="189" t="str">
        <f ca="1">IFERROR(__xludf.DUMMYFUNCTION("""COMPUTED_VALUE"""),"B")</f>
        <v>B</v>
      </c>
      <c r="E1837" s="189" t="str">
        <f ca="1">IFERROR(__xludf.DUMMYFUNCTION("""COMPUTED_VALUE"""),"F")</f>
        <v>F</v>
      </c>
      <c r="F1837" s="189" t="str">
        <f ca="1">IFERROR(__xludf.DUMMYFUNCTION("""COMPUTED_VALUE"""),"J")</f>
        <v>J</v>
      </c>
      <c r="G1837" s="189">
        <f ca="1">IFERROR(__xludf.DUMMYFUNCTION("""COMPUTED_VALUE"""),2)</f>
        <v>2</v>
      </c>
      <c r="H1837" s="196" t="s">
        <v>745</v>
      </c>
      <c r="I1837" s="196"/>
      <c r="J1837" s="196" t="s">
        <v>29</v>
      </c>
      <c r="K1837" s="196"/>
      <c r="L1837" s="196" t="str">
        <v xml:space="preserve"> 66.00</v>
      </c>
      <c r="M1837" s="196"/>
    </row>
    <row r="1838" spans="1:13" ht="14.4" x14ac:dyDescent="0.3">
      <c r="A1838" s="189" t="str">
        <f ca="1">IFERROR(__xludf.DUMMYFUNCTION("""COMPUTED_VALUE"""),"SHR")</f>
        <v>SHR</v>
      </c>
      <c r="B1838" s="195" t="str">
        <f ca="1">IFERROR(__xludf.DUMMYFUNCTION("""COMPUTED_VALUE"""),"William Camel")</f>
        <v>William Camel</v>
      </c>
      <c r="C1838" s="189">
        <f ca="1">IFERROR(__xludf.DUMMYFUNCTION("""COMPUTED_VALUE"""),7)</f>
        <v>7</v>
      </c>
      <c r="D1838" s="189" t="str">
        <f ca="1">IFERROR(__xludf.DUMMYFUNCTION("""COMPUTED_VALUE"""),"B")</f>
        <v>B</v>
      </c>
      <c r="E1838" s="189" t="str">
        <f ca="1">IFERROR(__xludf.DUMMYFUNCTION("""COMPUTED_VALUE"""),"F")</f>
        <v>F</v>
      </c>
      <c r="F1838" s="189" t="str">
        <f ca="1">IFERROR(__xludf.DUMMYFUNCTION("""COMPUTED_VALUE"""),"J")</f>
        <v>J</v>
      </c>
      <c r="G1838" s="189">
        <f ca="1">IFERROR(__xludf.DUMMYFUNCTION("""COMPUTED_VALUE"""),2)</f>
        <v>2</v>
      </c>
      <c r="H1838" s="196"/>
      <c r="I1838" s="196"/>
      <c r="J1838" s="196"/>
      <c r="K1838" s="196"/>
      <c r="L1838" s="196" t="str">
        <v/>
      </c>
      <c r="M1838" s="196"/>
    </row>
    <row r="1839" spans="1:13" ht="14.4" x14ac:dyDescent="0.3">
      <c r="A1839" s="189" t="str">
        <f ca="1">IFERROR(__xludf.DUMMYFUNCTION("""COMPUTED_VALUE"""),"SHR")</f>
        <v>SHR</v>
      </c>
      <c r="B1839" s="195" t="str">
        <f ca="1">IFERROR(__xludf.DUMMYFUNCTION("""COMPUTED_VALUE"""),"Zach Scherer")</f>
        <v>Zach Scherer</v>
      </c>
      <c r="C1839" s="189">
        <f ca="1">IFERROR(__xludf.DUMMYFUNCTION("""COMPUTED_VALUE"""),10)</f>
        <v>10</v>
      </c>
      <c r="D1839" s="189" t="str">
        <f ca="1">IFERROR(__xludf.DUMMYFUNCTION("""COMPUTED_VALUE"""),"B")</f>
        <v>B</v>
      </c>
      <c r="E1839" s="189" t="str">
        <f ca="1">IFERROR(__xludf.DUMMYFUNCTION("""COMPUTED_VALUE"""),"F")</f>
        <v>F</v>
      </c>
      <c r="F1839" s="189" t="str">
        <f ca="1">IFERROR(__xludf.DUMMYFUNCTION("""COMPUTED_VALUE"""),"J")</f>
        <v>J</v>
      </c>
      <c r="G1839" s="189">
        <f ca="1">IFERROR(__xludf.DUMMYFUNCTION("""COMPUTED_VALUE"""),2)</f>
        <v>2</v>
      </c>
      <c r="H1839" s="196" t="s">
        <v>746</v>
      </c>
      <c r="I1839" s="196"/>
      <c r="J1839" s="196" t="s">
        <v>29</v>
      </c>
      <c r="K1839" s="196"/>
      <c r="L1839" s="196" t="str">
        <v xml:space="preserve"> 62.40</v>
      </c>
      <c r="M1839" s="196"/>
    </row>
    <row r="1840" spans="1:13" ht="14.4" x14ac:dyDescent="0.3">
      <c r="A1840" s="189" t="str">
        <f ca="1">IFERROR(__xludf.DUMMYFUNCTION("""COMPUTED_VALUE"""),"SHR")</f>
        <v>SHR</v>
      </c>
      <c r="B1840" s="195" t="str">
        <f ca="1">IFERROR(__xludf.DUMMYFUNCTION("""COMPUTED_VALUE"""),"Elizabeth Heim")</f>
        <v>Elizabeth Heim</v>
      </c>
      <c r="C1840" s="189">
        <f ca="1">IFERROR(__xludf.DUMMYFUNCTION("""COMPUTED_VALUE"""),13)</f>
        <v>13</v>
      </c>
      <c r="D1840" s="189" t="str">
        <f ca="1">IFERROR(__xludf.DUMMYFUNCTION("""COMPUTED_VALUE"""),"G")</f>
        <v>G</v>
      </c>
      <c r="E1840" s="189" t="str">
        <f ca="1">IFERROR(__xludf.DUMMYFUNCTION("""COMPUTED_VALUE"""),"I")</f>
        <v>I</v>
      </c>
      <c r="F1840" s="189" t="str">
        <f ca="1">IFERROR(__xludf.DUMMYFUNCTION("""COMPUTED_VALUE"""),"S")</f>
        <v>S</v>
      </c>
      <c r="G1840" s="189">
        <f ca="1">IFERROR(__xludf.DUMMYFUNCTION("""COMPUTED_VALUE"""),2)</f>
        <v>2</v>
      </c>
      <c r="H1840" s="196"/>
      <c r="I1840" s="196"/>
      <c r="J1840" s="196"/>
      <c r="K1840" s="196"/>
      <c r="L1840" s="196" t="str">
        <v/>
      </c>
      <c r="M1840" s="196"/>
    </row>
    <row r="1841" spans="1:13" ht="14.4" x14ac:dyDescent="0.3">
      <c r="A1841" s="189" t="str">
        <f ca="1">IFERROR(__xludf.DUMMYFUNCTION("""COMPUTED_VALUE"""),"SHR")</f>
        <v>SHR</v>
      </c>
      <c r="B1841" s="195" t="str">
        <f ca="1">IFERROR(__xludf.DUMMYFUNCTION("""COMPUTED_VALUE"""),"Kalyn O'Hara")</f>
        <v>Kalyn O'Hara</v>
      </c>
      <c r="C1841" s="189">
        <f ca="1">IFERROR(__xludf.DUMMYFUNCTION("""COMPUTED_VALUE"""),14)</f>
        <v>14</v>
      </c>
      <c r="D1841" s="189" t="str">
        <f ca="1">IFERROR(__xludf.DUMMYFUNCTION("""COMPUTED_VALUE"""),"G")</f>
        <v>G</v>
      </c>
      <c r="E1841" s="189" t="str">
        <f ca="1">IFERROR(__xludf.DUMMYFUNCTION("""COMPUTED_VALUE"""),"I")</f>
        <v>I</v>
      </c>
      <c r="F1841" s="189" t="str">
        <f ca="1">IFERROR(__xludf.DUMMYFUNCTION("""COMPUTED_VALUE"""),"S")</f>
        <v>S</v>
      </c>
      <c r="G1841" s="189">
        <f ca="1">IFERROR(__xludf.DUMMYFUNCTION("""COMPUTED_VALUE"""),2)</f>
        <v>2</v>
      </c>
      <c r="H1841" s="196"/>
      <c r="I1841" s="196"/>
      <c r="J1841" s="196"/>
      <c r="K1841" s="196"/>
      <c r="L1841" s="196" t="str">
        <v/>
      </c>
      <c r="M1841" s="196"/>
    </row>
    <row r="1842" spans="1:13" ht="14.4" x14ac:dyDescent="0.3">
      <c r="A1842" s="189" t="str">
        <f ca="1">IFERROR(__xludf.DUMMYFUNCTION("""COMPUTED_VALUE"""),"SHR")</f>
        <v>SHR</v>
      </c>
      <c r="B1842" s="195" t="str">
        <f ca="1">IFERROR(__xludf.DUMMYFUNCTION("""COMPUTED_VALUE"""),"CJ Silva")</f>
        <v>CJ Silva</v>
      </c>
      <c r="C1842" s="189">
        <f ca="1">IFERROR(__xludf.DUMMYFUNCTION("""COMPUTED_VALUE"""),14)</f>
        <v>14</v>
      </c>
      <c r="D1842" s="189" t="str">
        <f ca="1">IFERROR(__xludf.DUMMYFUNCTION("""COMPUTED_VALUE"""),"B")</f>
        <v>B</v>
      </c>
      <c r="E1842" s="189" t="str">
        <f ca="1">IFERROR(__xludf.DUMMYFUNCTION("""COMPUTED_VALUE"""),"I")</f>
        <v>I</v>
      </c>
      <c r="F1842" s="189" t="str">
        <f ca="1">IFERROR(__xludf.DUMMYFUNCTION("""COMPUTED_VALUE"""),"S")</f>
        <v>S</v>
      </c>
      <c r="G1842" s="189">
        <f ca="1">IFERROR(__xludf.DUMMYFUNCTION("""COMPUTED_VALUE"""),2)</f>
        <v>2</v>
      </c>
      <c r="H1842" s="196"/>
      <c r="I1842" s="196"/>
      <c r="J1842" s="196"/>
      <c r="K1842" s="196"/>
      <c r="L1842" s="196" t="str">
        <v/>
      </c>
      <c r="M1842" s="196"/>
    </row>
    <row r="1843" spans="1:13" ht="14.4" x14ac:dyDescent="0.3">
      <c r="A1843" s="189" t="str">
        <f ca="1">IFERROR(__xludf.DUMMYFUNCTION("""COMPUTED_VALUE"""),"SHR")</f>
        <v>SHR</v>
      </c>
      <c r="B1843" s="195" t="str">
        <f ca="1">IFERROR(__xludf.DUMMYFUNCTION("""COMPUTED_VALUE"""),"Matheo Korin")</f>
        <v>Matheo Korin</v>
      </c>
      <c r="C1843" s="189">
        <f ca="1">IFERROR(__xludf.DUMMYFUNCTION("""COMPUTED_VALUE"""),13)</f>
        <v>13</v>
      </c>
      <c r="D1843" s="189" t="str">
        <f ca="1">IFERROR(__xludf.DUMMYFUNCTION("""COMPUTED_VALUE"""),"B")</f>
        <v>B</v>
      </c>
      <c r="E1843" s="189" t="str">
        <f ca="1">IFERROR(__xludf.DUMMYFUNCTION("""COMPUTED_VALUE"""),"I")</f>
        <v>I</v>
      </c>
      <c r="F1843" s="189" t="str">
        <f ca="1">IFERROR(__xludf.DUMMYFUNCTION("""COMPUTED_VALUE"""),"S")</f>
        <v>S</v>
      </c>
      <c r="G1843" s="189">
        <f ca="1">IFERROR(__xludf.DUMMYFUNCTION("""COMPUTED_VALUE"""),2)</f>
        <v>2</v>
      </c>
      <c r="H1843" s="196" t="s">
        <v>747</v>
      </c>
      <c r="I1843" s="196"/>
      <c r="J1843" s="196" t="s">
        <v>29</v>
      </c>
      <c r="K1843" s="196"/>
      <c r="L1843" s="196" t="str">
        <v xml:space="preserve"> 81.35</v>
      </c>
      <c r="M1843" s="196"/>
    </row>
    <row r="1844" spans="1:13" ht="14.4" x14ac:dyDescent="0.3">
      <c r="A1844" s="189" t="str">
        <f ca="1">IFERROR(__xludf.DUMMYFUNCTION("""COMPUTED_VALUE"""),"SHR")</f>
        <v>SHR</v>
      </c>
      <c r="B1844" s="195" t="str">
        <f ca="1">IFERROR(__xludf.DUMMYFUNCTION("""COMPUTED_VALUE"""),"Nathan Connelly")</f>
        <v>Nathan Connelly</v>
      </c>
      <c r="C1844" s="189">
        <f ca="1">IFERROR(__xludf.DUMMYFUNCTION("""COMPUTED_VALUE"""),13)</f>
        <v>13</v>
      </c>
      <c r="D1844" s="189" t="str">
        <f ca="1">IFERROR(__xludf.DUMMYFUNCTION("""COMPUTED_VALUE"""),"B")</f>
        <v>B</v>
      </c>
      <c r="E1844" s="189" t="str">
        <f ca="1">IFERROR(__xludf.DUMMYFUNCTION("""COMPUTED_VALUE"""),"I")</f>
        <v>I</v>
      </c>
      <c r="F1844" s="189" t="str">
        <f ca="1">IFERROR(__xludf.DUMMYFUNCTION("""COMPUTED_VALUE"""),"S")</f>
        <v>S</v>
      </c>
      <c r="G1844" s="189">
        <f ca="1">IFERROR(__xludf.DUMMYFUNCTION("""COMPUTED_VALUE"""),2)</f>
        <v>2</v>
      </c>
      <c r="H1844" s="196" t="s">
        <v>215</v>
      </c>
      <c r="I1844" s="196"/>
      <c r="J1844" s="196" t="s">
        <v>29</v>
      </c>
      <c r="K1844" s="196"/>
      <c r="L1844" s="196" t="str">
        <v xml:space="preserve"> 73.70</v>
      </c>
      <c r="M1844" s="196"/>
    </row>
    <row r="1845" spans="1:13" ht="14.4" x14ac:dyDescent="0.3">
      <c r="A1845" s="189" t="str">
        <f ca="1">IFERROR(__xludf.DUMMYFUNCTION("""COMPUTED_VALUE"""),"SHR")</f>
        <v>SHR</v>
      </c>
      <c r="B1845" s="195" t="str">
        <f ca="1">IFERROR(__xludf.DUMMYFUNCTION("""COMPUTED_VALUE"""),"Preston Wichert")</f>
        <v>Preston Wichert</v>
      </c>
      <c r="C1845" s="189">
        <f ca="1">IFERROR(__xludf.DUMMYFUNCTION("""COMPUTED_VALUE"""),13)</f>
        <v>13</v>
      </c>
      <c r="D1845" s="189" t="str">
        <f ca="1">IFERROR(__xludf.DUMMYFUNCTION("""COMPUTED_VALUE"""),"B")</f>
        <v>B</v>
      </c>
      <c r="E1845" s="189" t="str">
        <f ca="1">IFERROR(__xludf.DUMMYFUNCTION("""COMPUTED_VALUE"""),"I")</f>
        <v>I</v>
      </c>
      <c r="F1845" s="189" t="str">
        <f ca="1">IFERROR(__xludf.DUMMYFUNCTION("""COMPUTED_VALUE"""),"S")</f>
        <v>S</v>
      </c>
      <c r="G1845" s="189">
        <f ca="1">IFERROR(__xludf.DUMMYFUNCTION("""COMPUTED_VALUE"""),2)</f>
        <v>2</v>
      </c>
      <c r="H1845" s="196" t="s">
        <v>748</v>
      </c>
      <c r="I1845" s="196"/>
      <c r="J1845" s="196" t="s">
        <v>29</v>
      </c>
      <c r="K1845" s="196"/>
      <c r="L1845" s="196" t="str">
        <v xml:space="preserve"> 115.90</v>
      </c>
      <c r="M1845" s="196"/>
    </row>
    <row r="1846" spans="1:13" ht="14.4" x14ac:dyDescent="0.3">
      <c r="A1846" s="189" t="str">
        <f ca="1">IFERROR(__xludf.DUMMYFUNCTION("""COMPUTED_VALUE"""),"SHR")</f>
        <v>SHR</v>
      </c>
      <c r="B1846" s="195" t="str">
        <f ca="1">IFERROR(__xludf.DUMMYFUNCTION("""COMPUTED_VALUE"""),"Quinton Freshman")</f>
        <v>Quinton Freshman</v>
      </c>
      <c r="C1846" s="189">
        <f ca="1">IFERROR(__xludf.DUMMYFUNCTION("""COMPUTED_VALUE"""),13)</f>
        <v>13</v>
      </c>
      <c r="D1846" s="189" t="str">
        <f ca="1">IFERROR(__xludf.DUMMYFUNCTION("""COMPUTED_VALUE"""),"B")</f>
        <v>B</v>
      </c>
      <c r="E1846" s="189" t="str">
        <f ca="1">IFERROR(__xludf.DUMMYFUNCTION("""COMPUTED_VALUE"""),"I")</f>
        <v>I</v>
      </c>
      <c r="F1846" s="189" t="str">
        <f ca="1">IFERROR(__xludf.DUMMYFUNCTION("""COMPUTED_VALUE"""),"S")</f>
        <v>S</v>
      </c>
      <c r="G1846" s="189">
        <f ca="1">IFERROR(__xludf.DUMMYFUNCTION("""COMPUTED_VALUE"""),2)</f>
        <v>2</v>
      </c>
      <c r="H1846" s="196"/>
      <c r="I1846" s="196"/>
      <c r="J1846" s="196"/>
      <c r="K1846" s="196"/>
      <c r="L1846" s="196" t="str">
        <v/>
      </c>
      <c r="M1846" s="196"/>
    </row>
    <row r="1847" spans="1:13" ht="14.4" x14ac:dyDescent="0.3">
      <c r="A1847" s="189" t="str">
        <f ca="1">IFERROR(__xludf.DUMMYFUNCTION("""COMPUTED_VALUE"""),"SHR")</f>
        <v>SHR</v>
      </c>
      <c r="B1847" s="195" t="str">
        <f ca="1">IFERROR(__xludf.DUMMYFUNCTION("""COMPUTED_VALUE"""),"Annabelle Freshman")</f>
        <v>Annabelle Freshman</v>
      </c>
      <c r="C1847" s="189">
        <f ca="1">IFERROR(__xludf.DUMMYFUNCTION("""COMPUTED_VALUE"""),11)</f>
        <v>11</v>
      </c>
      <c r="D1847" s="189" t="str">
        <f ca="1">IFERROR(__xludf.DUMMYFUNCTION("""COMPUTED_VALUE"""),"G")</f>
        <v>G</v>
      </c>
      <c r="E1847" s="189" t="str">
        <f ca="1">IFERROR(__xludf.DUMMYFUNCTION("""COMPUTED_VALUE"""),"J")</f>
        <v>J</v>
      </c>
      <c r="F1847" s="189" t="str">
        <f ca="1">IFERROR(__xludf.DUMMYFUNCTION("""COMPUTED_VALUE"""),"I")</f>
        <v>I</v>
      </c>
      <c r="G1847" s="189">
        <f ca="1">IFERROR(__xludf.DUMMYFUNCTION("""COMPUTED_VALUE"""),2)</f>
        <v>2</v>
      </c>
      <c r="H1847" s="196"/>
      <c r="I1847" s="196"/>
      <c r="J1847" s="196"/>
      <c r="K1847" s="196"/>
      <c r="L1847" s="196" t="str">
        <v/>
      </c>
      <c r="M1847" s="196"/>
    </row>
    <row r="1848" spans="1:13" ht="14.4" x14ac:dyDescent="0.3">
      <c r="A1848" s="189" t="str">
        <f ca="1">IFERROR(__xludf.DUMMYFUNCTION("""COMPUTED_VALUE"""),"SHR")</f>
        <v>SHR</v>
      </c>
      <c r="B1848" s="195" t="str">
        <f ca="1">IFERROR(__xludf.DUMMYFUNCTION("""COMPUTED_VALUE"""),"Avery Jackson")</f>
        <v>Avery Jackson</v>
      </c>
      <c r="C1848" s="189">
        <f ca="1">IFERROR(__xludf.DUMMYFUNCTION("""COMPUTED_VALUE"""),11)</f>
        <v>11</v>
      </c>
      <c r="D1848" s="189" t="str">
        <f ca="1">IFERROR(__xludf.DUMMYFUNCTION("""COMPUTED_VALUE"""),"G")</f>
        <v>G</v>
      </c>
      <c r="E1848" s="189" t="str">
        <f ca="1">IFERROR(__xludf.DUMMYFUNCTION("""COMPUTED_VALUE"""),"J")</f>
        <v>J</v>
      </c>
      <c r="F1848" s="189" t="str">
        <f ca="1">IFERROR(__xludf.DUMMYFUNCTION("""COMPUTED_VALUE"""),"I")</f>
        <v>I</v>
      </c>
      <c r="G1848" s="189">
        <f ca="1">IFERROR(__xludf.DUMMYFUNCTION("""COMPUTED_VALUE"""),2)</f>
        <v>2</v>
      </c>
      <c r="H1848" s="196" t="s">
        <v>533</v>
      </c>
      <c r="I1848" s="196"/>
      <c r="J1848" s="196" t="s">
        <v>29</v>
      </c>
      <c r="K1848" s="196"/>
      <c r="L1848" s="196" t="str">
        <v xml:space="preserve"> 70.20</v>
      </c>
      <c r="M1848" s="196"/>
    </row>
    <row r="1849" spans="1:13" ht="14.4" x14ac:dyDescent="0.3">
      <c r="A1849" s="189" t="str">
        <f ca="1">IFERROR(__xludf.DUMMYFUNCTION("""COMPUTED_VALUE"""),"SHR")</f>
        <v>SHR</v>
      </c>
      <c r="B1849" s="195" t="str">
        <f ca="1">IFERROR(__xludf.DUMMYFUNCTION("""COMPUTED_VALUE"""),"Avery Swanson")</f>
        <v>Avery Swanson</v>
      </c>
      <c r="C1849" s="189">
        <f ca="1">IFERROR(__xludf.DUMMYFUNCTION("""COMPUTED_VALUE"""),11)</f>
        <v>11</v>
      </c>
      <c r="D1849" s="189" t="str">
        <f ca="1">IFERROR(__xludf.DUMMYFUNCTION("""COMPUTED_VALUE"""),"G")</f>
        <v>G</v>
      </c>
      <c r="E1849" s="189" t="str">
        <f ca="1">IFERROR(__xludf.DUMMYFUNCTION("""COMPUTED_VALUE"""),"J")</f>
        <v>J</v>
      </c>
      <c r="F1849" s="189" t="str">
        <f ca="1">IFERROR(__xludf.DUMMYFUNCTION("""COMPUTED_VALUE"""),"I")</f>
        <v>I</v>
      </c>
      <c r="G1849" s="189">
        <f ca="1">IFERROR(__xludf.DUMMYFUNCTION("""COMPUTED_VALUE"""),2)</f>
        <v>2</v>
      </c>
      <c r="H1849" s="196" t="s">
        <v>749</v>
      </c>
      <c r="I1849" s="196"/>
      <c r="J1849" s="196" t="s">
        <v>29</v>
      </c>
      <c r="K1849" s="196"/>
      <c r="L1849" s="196" t="str">
        <v xml:space="preserve"> 68.95</v>
      </c>
      <c r="M1849" s="196"/>
    </row>
    <row r="1850" spans="1:13" ht="14.4" x14ac:dyDescent="0.3">
      <c r="A1850" s="189" t="str">
        <f ca="1">IFERROR(__xludf.DUMMYFUNCTION("""COMPUTED_VALUE"""),"SHR")</f>
        <v>SHR</v>
      </c>
      <c r="B1850" s="195" t="str">
        <f ca="1">IFERROR(__xludf.DUMMYFUNCTION("""COMPUTED_VALUE"""),"Coco Marra")</f>
        <v>Coco Marra</v>
      </c>
      <c r="C1850" s="189">
        <f ca="1">IFERROR(__xludf.DUMMYFUNCTION("""COMPUTED_VALUE"""),11)</f>
        <v>11</v>
      </c>
      <c r="D1850" s="189" t="str">
        <f ca="1">IFERROR(__xludf.DUMMYFUNCTION("""COMPUTED_VALUE"""),"G")</f>
        <v>G</v>
      </c>
      <c r="E1850" s="189" t="str">
        <f ca="1">IFERROR(__xludf.DUMMYFUNCTION("""COMPUTED_VALUE"""),"J")</f>
        <v>J</v>
      </c>
      <c r="F1850" s="189" t="str">
        <f ca="1">IFERROR(__xludf.DUMMYFUNCTION("""COMPUTED_VALUE"""),"I")</f>
        <v>I</v>
      </c>
      <c r="G1850" s="189">
        <f ca="1">IFERROR(__xludf.DUMMYFUNCTION("""COMPUTED_VALUE"""),2)</f>
        <v>2</v>
      </c>
      <c r="H1850" s="196" t="s">
        <v>750</v>
      </c>
      <c r="I1850" s="196"/>
      <c r="J1850" s="196" t="s">
        <v>29</v>
      </c>
      <c r="K1850" s="196"/>
      <c r="L1850" s="196" t="str">
        <v xml:space="preserve"> 77.75</v>
      </c>
      <c r="M1850" s="196"/>
    </row>
    <row r="1851" spans="1:13" ht="14.4" x14ac:dyDescent="0.3">
      <c r="A1851" s="189" t="str">
        <f ca="1">IFERROR(__xludf.DUMMYFUNCTION("""COMPUTED_VALUE"""),"SHR")</f>
        <v>SHR</v>
      </c>
      <c r="B1851" s="195" t="str">
        <f ca="1">IFERROR(__xludf.DUMMYFUNCTION("""COMPUTED_VALUE"""),"Elle Feeley")</f>
        <v>Elle Feeley</v>
      </c>
      <c r="C1851" s="189">
        <f ca="1">IFERROR(__xludf.DUMMYFUNCTION("""COMPUTED_VALUE"""),11)</f>
        <v>11</v>
      </c>
      <c r="D1851" s="189" t="str">
        <f ca="1">IFERROR(__xludf.DUMMYFUNCTION("""COMPUTED_VALUE"""),"G")</f>
        <v>G</v>
      </c>
      <c r="E1851" s="189" t="str">
        <f ca="1">IFERROR(__xludf.DUMMYFUNCTION("""COMPUTED_VALUE"""),"J")</f>
        <v>J</v>
      </c>
      <c r="F1851" s="189" t="str">
        <f ca="1">IFERROR(__xludf.DUMMYFUNCTION("""COMPUTED_VALUE"""),"I")</f>
        <v>I</v>
      </c>
      <c r="G1851" s="189">
        <f ca="1">IFERROR(__xludf.DUMMYFUNCTION("""COMPUTED_VALUE"""),2)</f>
        <v>2</v>
      </c>
      <c r="H1851" s="196" t="s">
        <v>751</v>
      </c>
      <c r="I1851" s="196"/>
      <c r="J1851" s="196" t="s">
        <v>29</v>
      </c>
      <c r="K1851" s="196"/>
      <c r="L1851" s="196" t="str">
        <v xml:space="preserve"> 95.85</v>
      </c>
      <c r="M1851" s="196"/>
    </row>
    <row r="1852" spans="1:13" ht="14.4" x14ac:dyDescent="0.3">
      <c r="A1852" s="189" t="str">
        <f ca="1">IFERROR(__xludf.DUMMYFUNCTION("""COMPUTED_VALUE"""),"SHR")</f>
        <v>SHR</v>
      </c>
      <c r="B1852" s="195" t="str">
        <f ca="1">IFERROR(__xludf.DUMMYFUNCTION("""COMPUTED_VALUE"""),"Hailey DiVincenzo")</f>
        <v>Hailey DiVincenzo</v>
      </c>
      <c r="C1852" s="189">
        <f ca="1">IFERROR(__xludf.DUMMYFUNCTION("""COMPUTED_VALUE"""),11)</f>
        <v>11</v>
      </c>
      <c r="D1852" s="189" t="str">
        <f ca="1">IFERROR(__xludf.DUMMYFUNCTION("""COMPUTED_VALUE"""),"G")</f>
        <v>G</v>
      </c>
      <c r="E1852" s="189" t="str">
        <f ca="1">IFERROR(__xludf.DUMMYFUNCTION("""COMPUTED_VALUE"""),"J")</f>
        <v>J</v>
      </c>
      <c r="F1852" s="189" t="str">
        <f ca="1">IFERROR(__xludf.DUMMYFUNCTION("""COMPUTED_VALUE"""),"I")</f>
        <v>I</v>
      </c>
      <c r="G1852" s="189">
        <f ca="1">IFERROR(__xludf.DUMMYFUNCTION("""COMPUTED_VALUE"""),2)</f>
        <v>2</v>
      </c>
      <c r="H1852" s="196"/>
      <c r="I1852" s="196"/>
      <c r="J1852" s="196"/>
      <c r="K1852" s="196"/>
      <c r="L1852" s="196" t="str">
        <v/>
      </c>
      <c r="M1852" s="196"/>
    </row>
    <row r="1853" spans="1:13" ht="14.4" x14ac:dyDescent="0.3">
      <c r="A1853" s="189" t="str">
        <f ca="1">IFERROR(__xludf.DUMMYFUNCTION("""COMPUTED_VALUE"""),"SHR")</f>
        <v>SHR</v>
      </c>
      <c r="B1853" s="195" t="str">
        <f ca="1">IFERROR(__xludf.DUMMYFUNCTION("""COMPUTED_VALUE"""),"Hannah Brubeck")</f>
        <v>Hannah Brubeck</v>
      </c>
      <c r="C1853" s="189">
        <f ca="1">IFERROR(__xludf.DUMMYFUNCTION("""COMPUTED_VALUE"""),11)</f>
        <v>11</v>
      </c>
      <c r="D1853" s="189" t="str">
        <f ca="1">IFERROR(__xludf.DUMMYFUNCTION("""COMPUTED_VALUE"""),"G")</f>
        <v>G</v>
      </c>
      <c r="E1853" s="189" t="str">
        <f ca="1">IFERROR(__xludf.DUMMYFUNCTION("""COMPUTED_VALUE"""),"J")</f>
        <v>J</v>
      </c>
      <c r="F1853" s="189" t="str">
        <f ca="1">IFERROR(__xludf.DUMMYFUNCTION("""COMPUTED_VALUE"""),"I")</f>
        <v>I</v>
      </c>
      <c r="G1853" s="189">
        <f ca="1">IFERROR(__xludf.DUMMYFUNCTION("""COMPUTED_VALUE"""),2)</f>
        <v>2</v>
      </c>
      <c r="H1853" s="196" t="s">
        <v>752</v>
      </c>
      <c r="I1853" s="196"/>
      <c r="J1853" s="196" t="s">
        <v>64</v>
      </c>
      <c r="K1853" s="196"/>
      <c r="L1853" s="196" t="str">
        <v xml:space="preserve"> -143.25</v>
      </c>
      <c r="M1853" s="196"/>
    </row>
    <row r="1854" spans="1:13" ht="14.4" x14ac:dyDescent="0.3">
      <c r="A1854" s="189" t="str">
        <f ca="1">IFERROR(__xludf.DUMMYFUNCTION("""COMPUTED_VALUE"""),"SHR")</f>
        <v>SHR</v>
      </c>
      <c r="B1854" s="195" t="str">
        <f ca="1">IFERROR(__xludf.DUMMYFUNCTION("""COMPUTED_VALUE"""),"Isla Cannon")</f>
        <v>Isla Cannon</v>
      </c>
      <c r="C1854" s="189">
        <f ca="1">IFERROR(__xludf.DUMMYFUNCTION("""COMPUTED_VALUE"""),11)</f>
        <v>11</v>
      </c>
      <c r="D1854" s="189" t="str">
        <f ca="1">IFERROR(__xludf.DUMMYFUNCTION("""COMPUTED_VALUE"""),"G")</f>
        <v>G</v>
      </c>
      <c r="E1854" s="189" t="str">
        <f ca="1">IFERROR(__xludf.DUMMYFUNCTION("""COMPUTED_VALUE"""),"J")</f>
        <v>J</v>
      </c>
      <c r="F1854" s="189" t="str">
        <f ca="1">IFERROR(__xludf.DUMMYFUNCTION("""COMPUTED_VALUE"""),"I")</f>
        <v>I</v>
      </c>
      <c r="G1854" s="189">
        <f ca="1">IFERROR(__xludf.DUMMYFUNCTION("""COMPUTED_VALUE"""),2)</f>
        <v>2</v>
      </c>
      <c r="H1854" s="196"/>
      <c r="I1854" s="196"/>
      <c r="J1854" s="196"/>
      <c r="K1854" s="196"/>
      <c r="L1854" s="196" t="str">
        <v/>
      </c>
      <c r="M1854" s="196"/>
    </row>
    <row r="1855" spans="1:13" ht="14.4" x14ac:dyDescent="0.3">
      <c r="A1855" s="189" t="str">
        <f ca="1">IFERROR(__xludf.DUMMYFUNCTION("""COMPUTED_VALUE"""),"SHR")</f>
        <v>SHR</v>
      </c>
      <c r="B1855" s="195" t="str">
        <f ca="1">IFERROR(__xludf.DUMMYFUNCTION("""COMPUTED_VALUE"""),"Molly Hamill")</f>
        <v>Molly Hamill</v>
      </c>
      <c r="C1855" s="189">
        <f ca="1">IFERROR(__xludf.DUMMYFUNCTION("""COMPUTED_VALUE"""),11)</f>
        <v>11</v>
      </c>
      <c r="D1855" s="189" t="str">
        <f ca="1">IFERROR(__xludf.DUMMYFUNCTION("""COMPUTED_VALUE"""),"G")</f>
        <v>G</v>
      </c>
      <c r="E1855" s="189" t="str">
        <f ca="1">IFERROR(__xludf.DUMMYFUNCTION("""COMPUTED_VALUE"""),"J")</f>
        <v>J</v>
      </c>
      <c r="F1855" s="189" t="str">
        <f ca="1">IFERROR(__xludf.DUMMYFUNCTION("""COMPUTED_VALUE"""),"I")</f>
        <v>I</v>
      </c>
      <c r="G1855" s="189">
        <f ca="1">IFERROR(__xludf.DUMMYFUNCTION("""COMPUTED_VALUE"""),2)</f>
        <v>2</v>
      </c>
      <c r="H1855" s="196"/>
      <c r="I1855" s="196"/>
      <c r="J1855" s="196"/>
      <c r="K1855" s="196"/>
      <c r="L1855" s="196" t="str">
        <v/>
      </c>
      <c r="M1855" s="196"/>
    </row>
    <row r="1856" spans="1:13" ht="14.4" x14ac:dyDescent="0.3">
      <c r="A1856" s="189" t="str">
        <f ca="1">IFERROR(__xludf.DUMMYFUNCTION("""COMPUTED_VALUE"""),"SHR")</f>
        <v>SHR</v>
      </c>
      <c r="B1856" s="195" t="str">
        <f ca="1">IFERROR(__xludf.DUMMYFUNCTION("""COMPUTED_VALUE"""),"Pennie Erwin")</f>
        <v>Pennie Erwin</v>
      </c>
      <c r="C1856" s="189">
        <f ca="1">IFERROR(__xludf.DUMMYFUNCTION("""COMPUTED_VALUE"""),11)</f>
        <v>11</v>
      </c>
      <c r="D1856" s="189" t="str">
        <f ca="1">IFERROR(__xludf.DUMMYFUNCTION("""COMPUTED_VALUE"""),"G")</f>
        <v>G</v>
      </c>
      <c r="E1856" s="189" t="str">
        <f ca="1">IFERROR(__xludf.DUMMYFUNCTION("""COMPUTED_VALUE"""),"J")</f>
        <v>J</v>
      </c>
      <c r="F1856" s="189" t="str">
        <f ca="1">IFERROR(__xludf.DUMMYFUNCTION("""COMPUTED_VALUE"""),"I")</f>
        <v>I</v>
      </c>
      <c r="G1856" s="189">
        <f ca="1">IFERROR(__xludf.DUMMYFUNCTION("""COMPUTED_VALUE"""),2)</f>
        <v>2</v>
      </c>
      <c r="H1856" s="196"/>
      <c r="I1856" s="196"/>
      <c r="J1856" s="196"/>
      <c r="K1856" s="196"/>
      <c r="L1856" s="196" t="str">
        <v/>
      </c>
      <c r="M1856" s="196"/>
    </row>
    <row r="1857" spans="1:13" ht="14.4" x14ac:dyDescent="0.3">
      <c r="A1857" s="189" t="str">
        <f ca="1">IFERROR(__xludf.DUMMYFUNCTION("""COMPUTED_VALUE"""),"SHR")</f>
        <v>SHR</v>
      </c>
      <c r="B1857" s="195" t="str">
        <f ca="1">IFERROR(__xludf.DUMMYFUNCTION("""COMPUTED_VALUE"""),"Remi Sobota")</f>
        <v>Remi Sobota</v>
      </c>
      <c r="C1857" s="189">
        <f ca="1">IFERROR(__xludf.DUMMYFUNCTION("""COMPUTED_VALUE"""),11)</f>
        <v>11</v>
      </c>
      <c r="D1857" s="189" t="str">
        <f ca="1">IFERROR(__xludf.DUMMYFUNCTION("""COMPUTED_VALUE"""),"G")</f>
        <v>G</v>
      </c>
      <c r="E1857" s="189" t="str">
        <f ca="1">IFERROR(__xludf.DUMMYFUNCTION("""COMPUTED_VALUE"""),"J")</f>
        <v>J</v>
      </c>
      <c r="F1857" s="189" t="str">
        <f ca="1">IFERROR(__xludf.DUMMYFUNCTION("""COMPUTED_VALUE"""),"I")</f>
        <v>I</v>
      </c>
      <c r="G1857" s="189">
        <f ca="1">IFERROR(__xludf.DUMMYFUNCTION("""COMPUTED_VALUE"""),2)</f>
        <v>2</v>
      </c>
      <c r="H1857" s="196"/>
      <c r="I1857" s="196"/>
      <c r="J1857" s="196"/>
      <c r="K1857" s="196"/>
      <c r="L1857" s="196" t="str">
        <v/>
      </c>
      <c r="M1857" s="196"/>
    </row>
    <row r="1858" spans="1:13" ht="14.4" x14ac:dyDescent="0.3">
      <c r="A1858" s="189" t="str">
        <f ca="1">IFERROR(__xludf.DUMMYFUNCTION("""COMPUTED_VALUE"""),"SHR")</f>
        <v>SHR</v>
      </c>
      <c r="B1858" s="195" t="str">
        <f ca="1">IFERROR(__xludf.DUMMYFUNCTION("""COMPUTED_VALUE"""),"Ryann Rautenbach")</f>
        <v>Ryann Rautenbach</v>
      </c>
      <c r="C1858" s="189">
        <f ca="1">IFERROR(__xludf.DUMMYFUNCTION("""COMPUTED_VALUE"""),11)</f>
        <v>11</v>
      </c>
      <c r="D1858" s="189" t="str">
        <f ca="1">IFERROR(__xludf.DUMMYFUNCTION("""COMPUTED_VALUE"""),"G")</f>
        <v>G</v>
      </c>
      <c r="E1858" s="189" t="str">
        <f ca="1">IFERROR(__xludf.DUMMYFUNCTION("""COMPUTED_VALUE"""),"J")</f>
        <v>J</v>
      </c>
      <c r="F1858" s="189" t="str">
        <f ca="1">IFERROR(__xludf.DUMMYFUNCTION("""COMPUTED_VALUE"""),"I")</f>
        <v>I</v>
      </c>
      <c r="G1858" s="189">
        <f ca="1">IFERROR(__xludf.DUMMYFUNCTION("""COMPUTED_VALUE"""),2)</f>
        <v>2</v>
      </c>
      <c r="H1858" s="196" t="s">
        <v>753</v>
      </c>
      <c r="I1858" s="196"/>
      <c r="J1858" s="196" t="s">
        <v>29</v>
      </c>
      <c r="K1858" s="196"/>
      <c r="L1858" s="196" t="str">
        <v xml:space="preserve"> 40.90</v>
      </c>
      <c r="M1858" s="196"/>
    </row>
    <row r="1859" spans="1:13" ht="14.4" x14ac:dyDescent="0.3">
      <c r="A1859" s="189" t="str">
        <f ca="1">IFERROR(__xludf.DUMMYFUNCTION("""COMPUTED_VALUE"""),"SHR")</f>
        <v>SHR</v>
      </c>
      <c r="B1859" s="195" t="str">
        <f ca="1">IFERROR(__xludf.DUMMYFUNCTION("""COMPUTED_VALUE"""),"Kai Sheriff")</f>
        <v>Kai Sheriff</v>
      </c>
      <c r="C1859" s="189">
        <f ca="1">IFERROR(__xludf.DUMMYFUNCTION("""COMPUTED_VALUE"""),11)</f>
        <v>11</v>
      </c>
      <c r="D1859" s="189" t="str">
        <f ca="1">IFERROR(__xludf.DUMMYFUNCTION("""COMPUTED_VALUE"""),"B")</f>
        <v>B</v>
      </c>
      <c r="E1859" s="189" t="str">
        <f ca="1">IFERROR(__xludf.DUMMYFUNCTION("""COMPUTED_VALUE"""),"J")</f>
        <v>J</v>
      </c>
      <c r="F1859" s="189" t="str">
        <f ca="1">IFERROR(__xludf.DUMMYFUNCTION("""COMPUTED_VALUE"""),"I")</f>
        <v>I</v>
      </c>
      <c r="G1859" s="189">
        <f ca="1">IFERROR(__xludf.DUMMYFUNCTION("""COMPUTED_VALUE"""),2)</f>
        <v>2</v>
      </c>
      <c r="H1859" s="196"/>
      <c r="I1859" s="196"/>
      <c r="J1859" s="196"/>
      <c r="K1859" s="196"/>
      <c r="L1859" s="196" t="str">
        <v/>
      </c>
      <c r="M1859" s="196"/>
    </row>
    <row r="1860" spans="1:13" ht="14.4" x14ac:dyDescent="0.3">
      <c r="A1860" s="189" t="str">
        <f ca="1">IFERROR(__xludf.DUMMYFUNCTION("""COMPUTED_VALUE"""),"SHR")</f>
        <v>SHR</v>
      </c>
      <c r="B1860" s="195" t="str">
        <f ca="1">IFERROR(__xludf.DUMMYFUNCTION("""COMPUTED_VALUE"""),"Lucas Vida")</f>
        <v>Lucas Vida</v>
      </c>
      <c r="C1860" s="189">
        <f ca="1">IFERROR(__xludf.DUMMYFUNCTION("""COMPUTED_VALUE"""),11)</f>
        <v>11</v>
      </c>
      <c r="D1860" s="189" t="str">
        <f ca="1">IFERROR(__xludf.DUMMYFUNCTION("""COMPUTED_VALUE"""),"B")</f>
        <v>B</v>
      </c>
      <c r="E1860" s="189" t="str">
        <f ca="1">IFERROR(__xludf.DUMMYFUNCTION("""COMPUTED_VALUE"""),"J")</f>
        <v>J</v>
      </c>
      <c r="F1860" s="189" t="str">
        <f ca="1">IFERROR(__xludf.DUMMYFUNCTION("""COMPUTED_VALUE"""),"I")</f>
        <v>I</v>
      </c>
      <c r="G1860" s="189">
        <f ca="1">IFERROR(__xludf.DUMMYFUNCTION("""COMPUTED_VALUE"""),2)</f>
        <v>2</v>
      </c>
      <c r="H1860" s="196" t="s">
        <v>754</v>
      </c>
      <c r="I1860" s="196"/>
      <c r="J1860" s="196" t="s">
        <v>29</v>
      </c>
      <c r="K1860" s="196"/>
      <c r="L1860" s="196" t="str">
        <v xml:space="preserve"> 85.50</v>
      </c>
      <c r="M1860" s="196"/>
    </row>
    <row r="1861" spans="1:13" ht="14.4" x14ac:dyDescent="0.3">
      <c r="A1861" s="189" t="str">
        <f ca="1">IFERROR(__xludf.DUMMYFUNCTION("""COMPUTED_VALUE"""),"SHR")</f>
        <v>SHR</v>
      </c>
      <c r="B1861" s="195" t="str">
        <f ca="1">IFERROR(__xludf.DUMMYFUNCTION("""COMPUTED_VALUE"""),"Walter Hopwood")</f>
        <v>Walter Hopwood</v>
      </c>
      <c r="C1861" s="189">
        <f ca="1">IFERROR(__xludf.DUMMYFUNCTION("""COMPUTED_VALUE"""),12)</f>
        <v>12</v>
      </c>
      <c r="D1861" s="189" t="str">
        <f ca="1">IFERROR(__xludf.DUMMYFUNCTION("""COMPUTED_VALUE"""),"B")</f>
        <v>B</v>
      </c>
      <c r="E1861" s="189" t="str">
        <f ca="1">IFERROR(__xludf.DUMMYFUNCTION("""COMPUTED_VALUE"""),"J")</f>
        <v>J</v>
      </c>
      <c r="F1861" s="189" t="str">
        <f ca="1">IFERROR(__xludf.DUMMYFUNCTION("""COMPUTED_VALUE"""),"I")</f>
        <v>I</v>
      </c>
      <c r="G1861" s="189">
        <f ca="1">IFERROR(__xludf.DUMMYFUNCTION("""COMPUTED_VALUE"""),2)</f>
        <v>2</v>
      </c>
      <c r="H1861" s="196" t="s">
        <v>755</v>
      </c>
      <c r="I1861" s="196"/>
      <c r="J1861" s="196" t="s">
        <v>29</v>
      </c>
      <c r="K1861" s="196"/>
      <c r="L1861" s="196" t="str">
        <v xml:space="preserve"> 60.75</v>
      </c>
      <c r="M1861" s="196"/>
    </row>
    <row r="1862" spans="1:13" ht="14.4" x14ac:dyDescent="0.3">
      <c r="A1862" s="189" t="str">
        <f ca="1">IFERROR(__xludf.DUMMYFUNCTION("""COMPUTED_VALUE"""),"SHR")</f>
        <v>SHR</v>
      </c>
      <c r="B1862" s="195" t="str">
        <f ca="1">IFERROR(__xludf.DUMMYFUNCTION("""COMPUTED_VALUE"""),"William Erwin")</f>
        <v>William Erwin</v>
      </c>
      <c r="C1862" s="189">
        <f ca="1">IFERROR(__xludf.DUMMYFUNCTION("""COMPUTED_VALUE"""),12)</f>
        <v>12</v>
      </c>
      <c r="D1862" s="189" t="str">
        <f ca="1">IFERROR(__xludf.DUMMYFUNCTION("""COMPUTED_VALUE"""),"B")</f>
        <v>B</v>
      </c>
      <c r="E1862" s="189" t="str">
        <f ca="1">IFERROR(__xludf.DUMMYFUNCTION("""COMPUTED_VALUE"""),"J")</f>
        <v>J</v>
      </c>
      <c r="F1862" s="189" t="str">
        <f ca="1">IFERROR(__xludf.DUMMYFUNCTION("""COMPUTED_VALUE"""),"I")</f>
        <v>I</v>
      </c>
      <c r="G1862" s="189">
        <f ca="1">IFERROR(__xludf.DUMMYFUNCTION("""COMPUTED_VALUE"""),2)</f>
        <v>2</v>
      </c>
      <c r="H1862" s="196"/>
      <c r="I1862" s="196"/>
      <c r="J1862" s="196"/>
      <c r="K1862" s="196"/>
      <c r="L1862" s="196" t="str">
        <v/>
      </c>
      <c r="M1862" s="196"/>
    </row>
    <row r="1863" spans="1:13" ht="14.4" x14ac:dyDescent="0.3">
      <c r="A1863" s="189" t="str">
        <f ca="1">IFERROR(__xludf.DUMMYFUNCTION("""COMPUTED_VALUE"""),"SHR")</f>
        <v>SHR</v>
      </c>
      <c r="B1863" s="195" t="str">
        <f ca="1">IFERROR(__xludf.DUMMYFUNCTION("""COMPUTED_VALUE"""),"Anna Fitzgerald")</f>
        <v>Anna Fitzgerald</v>
      </c>
      <c r="C1863" s="189">
        <f ca="1">IFERROR(__xludf.DUMMYFUNCTION("""COMPUTED_VALUE"""),15)</f>
        <v>15</v>
      </c>
      <c r="D1863" s="189" t="str">
        <f ca="1">IFERROR(__xludf.DUMMYFUNCTION("""COMPUTED_VALUE"""),"G")</f>
        <v>G</v>
      </c>
      <c r="E1863" s="189" t="str">
        <f ca="1">IFERROR(__xludf.DUMMYFUNCTION("""COMPUTED_VALUE"""),"S")</f>
        <v>S</v>
      </c>
      <c r="F1863" s="189" t="str">
        <f ca="1">IFERROR(__xludf.DUMMYFUNCTION("""COMPUTED_VALUE"""),"S")</f>
        <v>S</v>
      </c>
      <c r="G1863" s="189">
        <f ca="1">IFERROR(__xludf.DUMMYFUNCTION("""COMPUTED_VALUE"""),2)</f>
        <v>2</v>
      </c>
      <c r="H1863" s="196" t="s">
        <v>756</v>
      </c>
      <c r="I1863" s="196"/>
      <c r="J1863" s="196" t="s">
        <v>29</v>
      </c>
      <c r="K1863" s="196"/>
      <c r="L1863" s="196" t="str">
        <v xml:space="preserve"> 165.20</v>
      </c>
      <c r="M1863" s="196"/>
    </row>
    <row r="1864" spans="1:13" ht="14.4" x14ac:dyDescent="0.3">
      <c r="A1864" s="189" t="str">
        <f ca="1">IFERROR(__xludf.DUMMYFUNCTION("""COMPUTED_VALUE"""),"SHR")</f>
        <v>SHR</v>
      </c>
      <c r="B1864" s="195" t="str">
        <f ca="1">IFERROR(__xludf.DUMMYFUNCTION("""COMPUTED_VALUE"""),"Chloe Richards")</f>
        <v>Chloe Richards</v>
      </c>
      <c r="C1864" s="189">
        <f ca="1">IFERROR(__xludf.DUMMYFUNCTION("""COMPUTED_VALUE"""),17)</f>
        <v>17</v>
      </c>
      <c r="D1864" s="189" t="str">
        <f ca="1">IFERROR(__xludf.DUMMYFUNCTION("""COMPUTED_VALUE"""),"G")</f>
        <v>G</v>
      </c>
      <c r="E1864" s="189" t="str">
        <f ca="1">IFERROR(__xludf.DUMMYFUNCTION("""COMPUTED_VALUE"""),"S")</f>
        <v>S</v>
      </c>
      <c r="F1864" s="189" t="str">
        <f ca="1">IFERROR(__xludf.DUMMYFUNCTION("""COMPUTED_VALUE"""),"S")</f>
        <v>S</v>
      </c>
      <c r="G1864" s="189">
        <f ca="1">IFERROR(__xludf.DUMMYFUNCTION("""COMPUTED_VALUE"""),2)</f>
        <v>2</v>
      </c>
      <c r="H1864" s="196" t="s">
        <v>757</v>
      </c>
      <c r="I1864" s="196"/>
      <c r="J1864" s="196" t="s">
        <v>29</v>
      </c>
      <c r="K1864" s="196"/>
      <c r="L1864" s="196" t="str">
        <v xml:space="preserve"> 183.25</v>
      </c>
      <c r="M1864" s="196"/>
    </row>
    <row r="1865" spans="1:13" ht="14.4" x14ac:dyDescent="0.3">
      <c r="A1865" s="189" t="str">
        <f ca="1">IFERROR(__xludf.DUMMYFUNCTION("""COMPUTED_VALUE"""),"SHR")</f>
        <v>SHR</v>
      </c>
      <c r="B1865" s="195" t="str">
        <f ca="1">IFERROR(__xludf.DUMMYFUNCTION("""COMPUTED_VALUE"""),"Emma Redman")</f>
        <v>Emma Redman</v>
      </c>
      <c r="C1865" s="189">
        <f ca="1">IFERROR(__xludf.DUMMYFUNCTION("""COMPUTED_VALUE"""),17)</f>
        <v>17</v>
      </c>
      <c r="D1865" s="189" t="str">
        <f ca="1">IFERROR(__xludf.DUMMYFUNCTION("""COMPUTED_VALUE"""),"G")</f>
        <v>G</v>
      </c>
      <c r="E1865" s="189" t="str">
        <f ca="1">IFERROR(__xludf.DUMMYFUNCTION("""COMPUTED_VALUE"""),"S")</f>
        <v>S</v>
      </c>
      <c r="F1865" s="189" t="str">
        <f ca="1">IFERROR(__xludf.DUMMYFUNCTION("""COMPUTED_VALUE"""),"S")</f>
        <v>S</v>
      </c>
      <c r="G1865" s="189">
        <f ca="1">IFERROR(__xludf.DUMMYFUNCTION("""COMPUTED_VALUE"""),2)</f>
        <v>2</v>
      </c>
      <c r="H1865" s="196" t="s">
        <v>758</v>
      </c>
      <c r="I1865" s="196"/>
      <c r="J1865" s="196" t="s">
        <v>29</v>
      </c>
      <c r="K1865" s="196"/>
      <c r="L1865" s="196" t="str">
        <v xml:space="preserve"> 159.70</v>
      </c>
      <c r="M1865" s="196"/>
    </row>
    <row r="1866" spans="1:13" ht="14.4" x14ac:dyDescent="0.3">
      <c r="A1866" s="189" t="str">
        <f ca="1">IFERROR(__xludf.DUMMYFUNCTION("""COMPUTED_VALUE"""),"SHR")</f>
        <v>SHR</v>
      </c>
      <c r="B1866" s="195" t="str">
        <f ca="1">IFERROR(__xludf.DUMMYFUNCTION("""COMPUTED_VALUE"""),"Lili Lepore")</f>
        <v>Lili Lepore</v>
      </c>
      <c r="C1866" s="189">
        <f ca="1">IFERROR(__xludf.DUMMYFUNCTION("""COMPUTED_VALUE"""),15)</f>
        <v>15</v>
      </c>
      <c r="D1866" s="189" t="str">
        <f ca="1">IFERROR(__xludf.DUMMYFUNCTION("""COMPUTED_VALUE"""),"G")</f>
        <v>G</v>
      </c>
      <c r="E1866" s="189" t="str">
        <f ca="1">IFERROR(__xludf.DUMMYFUNCTION("""COMPUTED_VALUE"""),"S")</f>
        <v>S</v>
      </c>
      <c r="F1866" s="189" t="str">
        <f ca="1">IFERROR(__xludf.DUMMYFUNCTION("""COMPUTED_VALUE"""),"S")</f>
        <v>S</v>
      </c>
      <c r="G1866" s="189">
        <f ca="1">IFERROR(__xludf.DUMMYFUNCTION("""COMPUTED_VALUE"""),2)</f>
        <v>2</v>
      </c>
      <c r="H1866" s="196"/>
      <c r="I1866" s="196"/>
      <c r="J1866" s="196"/>
      <c r="K1866" s="196"/>
      <c r="L1866" s="196" t="str">
        <v/>
      </c>
      <c r="M1866" s="196"/>
    </row>
    <row r="1867" spans="1:13" ht="14.4" x14ac:dyDescent="0.3">
      <c r="A1867" s="189" t="str">
        <f ca="1">IFERROR(__xludf.DUMMYFUNCTION("""COMPUTED_VALUE"""),"SHR")</f>
        <v>SHR</v>
      </c>
      <c r="B1867" s="195" t="str">
        <f ca="1">IFERROR(__xludf.DUMMYFUNCTION("""COMPUTED_VALUE"""),"Ocean Archambault")</f>
        <v>Ocean Archambault</v>
      </c>
      <c r="C1867" s="189">
        <f ca="1">IFERROR(__xludf.DUMMYFUNCTION("""COMPUTED_VALUE"""),18)</f>
        <v>18</v>
      </c>
      <c r="D1867" s="189" t="str">
        <f ca="1">IFERROR(__xludf.DUMMYFUNCTION("""COMPUTED_VALUE"""),"G")</f>
        <v>G</v>
      </c>
      <c r="E1867" s="189" t="str">
        <f ca="1">IFERROR(__xludf.DUMMYFUNCTION("""COMPUTED_VALUE"""),"S")</f>
        <v>S</v>
      </c>
      <c r="F1867" s="189" t="str">
        <f ca="1">IFERROR(__xludf.DUMMYFUNCTION("""COMPUTED_VALUE"""),"S")</f>
        <v>S</v>
      </c>
      <c r="G1867" s="189">
        <f ca="1">IFERROR(__xludf.DUMMYFUNCTION("""COMPUTED_VALUE"""),2)</f>
        <v>2</v>
      </c>
      <c r="H1867" s="196" t="s">
        <v>759</v>
      </c>
      <c r="I1867" s="196"/>
      <c r="J1867" s="196" t="s">
        <v>29</v>
      </c>
      <c r="K1867" s="196"/>
      <c r="L1867" s="196" t="str">
        <v xml:space="preserve"> 179.50</v>
      </c>
      <c r="M1867" s="196"/>
    </row>
    <row r="1868" spans="1:13" ht="14.4" x14ac:dyDescent="0.3">
      <c r="A1868" s="189" t="str">
        <f ca="1">IFERROR(__xludf.DUMMYFUNCTION("""COMPUTED_VALUE"""),"SHR")</f>
        <v>SHR</v>
      </c>
      <c r="B1868" s="195" t="str">
        <f ca="1">IFERROR(__xludf.DUMMYFUNCTION("""COMPUTED_VALUE"""),"Matthew Heim")</f>
        <v>Matthew Heim</v>
      </c>
      <c r="C1868" s="189">
        <f ca="1">IFERROR(__xludf.DUMMYFUNCTION("""COMPUTED_VALUE"""),16)</f>
        <v>16</v>
      </c>
      <c r="D1868" s="189" t="str">
        <f ca="1">IFERROR(__xludf.DUMMYFUNCTION("""COMPUTED_VALUE"""),"B")</f>
        <v>B</v>
      </c>
      <c r="E1868" s="189" t="str">
        <f ca="1">IFERROR(__xludf.DUMMYFUNCTION("""COMPUTED_VALUE"""),"S")</f>
        <v>S</v>
      </c>
      <c r="F1868" s="189" t="str">
        <f ca="1">IFERROR(__xludf.DUMMYFUNCTION("""COMPUTED_VALUE"""),"S")</f>
        <v>S</v>
      </c>
      <c r="G1868" s="189">
        <f ca="1">IFERROR(__xludf.DUMMYFUNCTION("""COMPUTED_VALUE"""),2)</f>
        <v>2</v>
      </c>
      <c r="H1868" s="196" t="s">
        <v>760</v>
      </c>
      <c r="I1868" s="196"/>
      <c r="J1868" s="196" t="s">
        <v>29</v>
      </c>
      <c r="K1868" s="196"/>
      <c r="L1868" s="196" t="str">
        <v xml:space="preserve"> 173.25</v>
      </c>
      <c r="M1868" s="196"/>
    </row>
    <row r="1869" spans="1:13" ht="14.4" x14ac:dyDescent="0.3">
      <c r="A1869" s="189" t="str">
        <f ca="1">IFERROR(__xludf.DUMMYFUNCTION("""COMPUTED_VALUE"""),"SHR")</f>
        <v>SHR</v>
      </c>
      <c r="B1869" s="195" t="str">
        <f ca="1">IFERROR(__xludf.DUMMYFUNCTION("""COMPUTED_VALUE"""),"Parker Rice")</f>
        <v>Parker Rice</v>
      </c>
      <c r="C1869" s="189">
        <f ca="1">IFERROR(__xludf.DUMMYFUNCTION("""COMPUTED_VALUE"""),18)</f>
        <v>18</v>
      </c>
      <c r="D1869" s="189" t="str">
        <f ca="1">IFERROR(__xludf.DUMMYFUNCTION("""COMPUTED_VALUE"""),"B")</f>
        <v>B</v>
      </c>
      <c r="E1869" s="189" t="str">
        <f ca="1">IFERROR(__xludf.DUMMYFUNCTION("""COMPUTED_VALUE"""),"S")</f>
        <v>S</v>
      </c>
      <c r="F1869" s="189" t="str">
        <f ca="1">IFERROR(__xludf.DUMMYFUNCTION("""COMPUTED_VALUE"""),"S")</f>
        <v>S</v>
      </c>
      <c r="G1869" s="189">
        <f ca="1">IFERROR(__xludf.DUMMYFUNCTION("""COMPUTED_VALUE"""),2)</f>
        <v>2</v>
      </c>
      <c r="H1869" s="196"/>
      <c r="I1869" s="196"/>
      <c r="J1869" s="196"/>
      <c r="K1869" s="196"/>
      <c r="L1869" s="196" t="str">
        <v/>
      </c>
      <c r="M1869" s="196"/>
    </row>
    <row r="1870" spans="1:13" ht="14.4" x14ac:dyDescent="0.3">
      <c r="A1870" s="189" t="str">
        <f ca="1">IFERROR(__xludf.DUMMYFUNCTION("""COMPUTED_VALUE"""),"SR")</f>
        <v>SR</v>
      </c>
      <c r="B1870" s="195" t="str">
        <f ca="1">IFERROR(__xludf.DUMMYFUNCTION("""COMPUTED_VALUE"""),"Anne Marie Cummings")</f>
        <v>Anne Marie Cummings</v>
      </c>
      <c r="C1870" s="189">
        <f ca="1">IFERROR(__xludf.DUMMYFUNCTION("""COMPUTED_VALUE"""),7)</f>
        <v>7</v>
      </c>
      <c r="D1870" s="189" t="str">
        <f ca="1">IFERROR(__xludf.DUMMYFUNCTION("""COMPUTED_VALUE"""),"G")</f>
        <v>G</v>
      </c>
      <c r="E1870" s="189" t="str">
        <f ca="1">IFERROR(__xludf.DUMMYFUNCTION("""COMPUTED_VALUE"""),"F")</f>
        <v>F</v>
      </c>
      <c r="F1870" s="189" t="str">
        <f ca="1">IFERROR(__xludf.DUMMYFUNCTION("""COMPUTED_VALUE"""),"J")</f>
        <v>J</v>
      </c>
      <c r="G1870" s="189">
        <f ca="1">IFERROR(__xludf.DUMMYFUNCTION("""COMPUTED_VALUE"""),5)</f>
        <v>5</v>
      </c>
      <c r="H1870" s="196" t="s">
        <v>761</v>
      </c>
      <c r="I1870" s="196"/>
      <c r="J1870" s="196" t="s">
        <v>29</v>
      </c>
      <c r="K1870" s="196"/>
      <c r="L1870" s="196" t="str">
        <v xml:space="preserve"> 16.00</v>
      </c>
      <c r="M1870" s="196"/>
    </row>
    <row r="1871" spans="1:13" ht="14.4" x14ac:dyDescent="0.3">
      <c r="A1871" s="189" t="str">
        <f ca="1">IFERROR(__xludf.DUMMYFUNCTION("""COMPUTED_VALUE"""),"SR")</f>
        <v>SR</v>
      </c>
      <c r="B1871" s="195" t="str">
        <f ca="1">IFERROR(__xludf.DUMMYFUNCTION("""COMPUTED_VALUE"""),"Beatrice Simonsen")</f>
        <v>Beatrice Simonsen</v>
      </c>
      <c r="C1871" s="189">
        <f ca="1">IFERROR(__xludf.DUMMYFUNCTION("""COMPUTED_VALUE"""),10)</f>
        <v>10</v>
      </c>
      <c r="D1871" s="189" t="str">
        <f ca="1">IFERROR(__xludf.DUMMYFUNCTION("""COMPUTED_VALUE"""),"G")</f>
        <v>G</v>
      </c>
      <c r="E1871" s="189" t="str">
        <f ca="1">IFERROR(__xludf.DUMMYFUNCTION("""COMPUTED_VALUE"""),"F")</f>
        <v>F</v>
      </c>
      <c r="F1871" s="189" t="str">
        <f ca="1">IFERROR(__xludf.DUMMYFUNCTION("""COMPUTED_VALUE"""),"J")</f>
        <v>J</v>
      </c>
      <c r="G1871" s="189">
        <f ca="1">IFERROR(__xludf.DUMMYFUNCTION("""COMPUTED_VALUE"""),5)</f>
        <v>5</v>
      </c>
      <c r="H1871" s="196" t="s">
        <v>762</v>
      </c>
      <c r="I1871" s="196"/>
      <c r="J1871" s="196" t="s">
        <v>29</v>
      </c>
      <c r="K1871" s="196"/>
      <c r="L1871" s="196" t="str">
        <v xml:space="preserve"> 59.75</v>
      </c>
      <c r="M1871" s="196"/>
    </row>
    <row r="1872" spans="1:13" ht="14.4" x14ac:dyDescent="0.3">
      <c r="A1872" s="189" t="str">
        <f ca="1">IFERROR(__xludf.DUMMYFUNCTION("""COMPUTED_VALUE"""),"SR")</f>
        <v>SR</v>
      </c>
      <c r="B1872" s="195" t="str">
        <f ca="1">IFERROR(__xludf.DUMMYFUNCTION("""COMPUTED_VALUE"""),"Caroline Markey")</f>
        <v>Caroline Markey</v>
      </c>
      <c r="C1872" s="189">
        <f ca="1">IFERROR(__xludf.DUMMYFUNCTION("""COMPUTED_VALUE"""),10)</f>
        <v>10</v>
      </c>
      <c r="D1872" s="189" t="str">
        <f ca="1">IFERROR(__xludf.DUMMYFUNCTION("""COMPUTED_VALUE"""),"G")</f>
        <v>G</v>
      </c>
      <c r="E1872" s="189" t="str">
        <f ca="1">IFERROR(__xludf.DUMMYFUNCTION("""COMPUTED_VALUE"""),"F")</f>
        <v>F</v>
      </c>
      <c r="F1872" s="189" t="str">
        <f ca="1">IFERROR(__xludf.DUMMYFUNCTION("""COMPUTED_VALUE"""),"J")</f>
        <v>J</v>
      </c>
      <c r="G1872" s="189">
        <f ca="1">IFERROR(__xludf.DUMMYFUNCTION("""COMPUTED_VALUE"""),5)</f>
        <v>5</v>
      </c>
      <c r="H1872" s="196" t="s">
        <v>379</v>
      </c>
      <c r="I1872" s="196"/>
      <c r="J1872" s="196" t="s">
        <v>29</v>
      </c>
      <c r="K1872" s="196"/>
      <c r="L1872" s="196" t="str">
        <v xml:space="preserve"> 43.60</v>
      </c>
      <c r="M1872" s="196"/>
    </row>
    <row r="1873" spans="1:13" ht="14.4" x14ac:dyDescent="0.3">
      <c r="A1873" s="189" t="str">
        <f ca="1">IFERROR(__xludf.DUMMYFUNCTION("""COMPUTED_VALUE"""),"SR")</f>
        <v>SR</v>
      </c>
      <c r="B1873" s="195" t="str">
        <f ca="1">IFERROR(__xludf.DUMMYFUNCTION("""COMPUTED_VALUE"""),"Caroline Wilson")</f>
        <v>Caroline Wilson</v>
      </c>
      <c r="C1873" s="189">
        <f ca="1">IFERROR(__xludf.DUMMYFUNCTION("""COMPUTED_VALUE"""),9)</f>
        <v>9</v>
      </c>
      <c r="D1873" s="189" t="str">
        <f ca="1">IFERROR(__xludf.DUMMYFUNCTION("""COMPUTED_VALUE"""),"G")</f>
        <v>G</v>
      </c>
      <c r="E1873" s="189" t="str">
        <f ca="1">IFERROR(__xludf.DUMMYFUNCTION("""COMPUTED_VALUE"""),"F")</f>
        <v>F</v>
      </c>
      <c r="F1873" s="189" t="str">
        <f ca="1">IFERROR(__xludf.DUMMYFUNCTION("""COMPUTED_VALUE"""),"J")</f>
        <v>J</v>
      </c>
      <c r="G1873" s="189">
        <f ca="1">IFERROR(__xludf.DUMMYFUNCTION("""COMPUTED_VALUE"""),5)</f>
        <v>5</v>
      </c>
      <c r="H1873" s="196"/>
      <c r="I1873" s="196"/>
      <c r="J1873" s="196"/>
      <c r="K1873" s="196"/>
      <c r="L1873" s="196" t="str">
        <v/>
      </c>
      <c r="M1873" s="196"/>
    </row>
    <row r="1874" spans="1:13" ht="14.4" x14ac:dyDescent="0.3">
      <c r="A1874" s="189" t="str">
        <f ca="1">IFERROR(__xludf.DUMMYFUNCTION("""COMPUTED_VALUE"""),"SR")</f>
        <v>SR</v>
      </c>
      <c r="B1874" s="195" t="str">
        <f ca="1">IFERROR(__xludf.DUMMYFUNCTION("""COMPUTED_VALUE"""),"Clara Cummings")</f>
        <v>Clara Cummings</v>
      </c>
      <c r="C1874" s="189">
        <f ca="1">IFERROR(__xludf.DUMMYFUNCTION("""COMPUTED_VALUE"""),9)</f>
        <v>9</v>
      </c>
      <c r="D1874" s="189" t="str">
        <f ca="1">IFERROR(__xludf.DUMMYFUNCTION("""COMPUTED_VALUE"""),"G")</f>
        <v>G</v>
      </c>
      <c r="E1874" s="189" t="str">
        <f ca="1">IFERROR(__xludf.DUMMYFUNCTION("""COMPUTED_VALUE"""),"F")</f>
        <v>F</v>
      </c>
      <c r="F1874" s="189" t="str">
        <f ca="1">IFERROR(__xludf.DUMMYFUNCTION("""COMPUTED_VALUE"""),"J")</f>
        <v>J</v>
      </c>
      <c r="G1874" s="189">
        <f ca="1">IFERROR(__xludf.DUMMYFUNCTION("""COMPUTED_VALUE"""),5)</f>
        <v>5</v>
      </c>
      <c r="H1874" s="196" t="s">
        <v>763</v>
      </c>
      <c r="I1874" s="196"/>
      <c r="J1874" s="196" t="s">
        <v>29</v>
      </c>
      <c r="K1874" s="196"/>
      <c r="L1874" s="196" t="str">
        <v xml:space="preserve"> 50.85</v>
      </c>
      <c r="M1874" s="196"/>
    </row>
    <row r="1875" spans="1:13" ht="14.4" x14ac:dyDescent="0.3">
      <c r="A1875" s="189" t="str">
        <f ca="1">IFERROR(__xludf.DUMMYFUNCTION("""COMPUTED_VALUE"""),"SR")</f>
        <v>SR</v>
      </c>
      <c r="B1875" s="195" t="str">
        <f ca="1">IFERROR(__xludf.DUMMYFUNCTION("""COMPUTED_VALUE"""),"Lillian Engle")</f>
        <v>Lillian Engle</v>
      </c>
      <c r="C1875" s="189">
        <f ca="1">IFERROR(__xludf.DUMMYFUNCTION("""COMPUTED_VALUE"""),10)</f>
        <v>10</v>
      </c>
      <c r="D1875" s="189" t="str">
        <f ca="1">IFERROR(__xludf.DUMMYFUNCTION("""COMPUTED_VALUE"""),"G")</f>
        <v>G</v>
      </c>
      <c r="E1875" s="189" t="str">
        <f ca="1">IFERROR(__xludf.DUMMYFUNCTION("""COMPUTED_VALUE"""),"F")</f>
        <v>F</v>
      </c>
      <c r="F1875" s="189" t="str">
        <f ca="1">IFERROR(__xludf.DUMMYFUNCTION("""COMPUTED_VALUE"""),"J")</f>
        <v>J</v>
      </c>
      <c r="G1875" s="189">
        <f ca="1">IFERROR(__xludf.DUMMYFUNCTION("""COMPUTED_VALUE"""),5)</f>
        <v>5</v>
      </c>
      <c r="H1875" s="196" t="s">
        <v>764</v>
      </c>
      <c r="I1875" s="196"/>
      <c r="J1875" s="196" t="s">
        <v>29</v>
      </c>
      <c r="K1875" s="196"/>
      <c r="L1875" s="196" t="str">
        <v xml:space="preserve"> 40.20</v>
      </c>
      <c r="M1875" s="196"/>
    </row>
    <row r="1876" spans="1:13" ht="14.4" x14ac:dyDescent="0.3">
      <c r="A1876" s="189" t="str">
        <f ca="1">IFERROR(__xludf.DUMMYFUNCTION("""COMPUTED_VALUE"""),"SR")</f>
        <v>SR</v>
      </c>
      <c r="B1876" s="195" t="str">
        <f ca="1">IFERROR(__xludf.DUMMYFUNCTION("""COMPUTED_VALUE"""),"Penelope Cummings")</f>
        <v>Penelope Cummings</v>
      </c>
      <c r="C1876" s="189">
        <f ca="1">IFERROR(__xludf.DUMMYFUNCTION("""COMPUTED_VALUE"""),8)</f>
        <v>8</v>
      </c>
      <c r="D1876" s="189" t="str">
        <f ca="1">IFERROR(__xludf.DUMMYFUNCTION("""COMPUTED_VALUE"""),"G")</f>
        <v>G</v>
      </c>
      <c r="E1876" s="189" t="str">
        <f ca="1">IFERROR(__xludf.DUMMYFUNCTION("""COMPUTED_VALUE"""),"F")</f>
        <v>F</v>
      </c>
      <c r="F1876" s="189" t="str">
        <f ca="1">IFERROR(__xludf.DUMMYFUNCTION("""COMPUTED_VALUE"""),"J")</f>
        <v>J</v>
      </c>
      <c r="G1876" s="189">
        <f ca="1">IFERROR(__xludf.DUMMYFUNCTION("""COMPUTED_VALUE"""),5)</f>
        <v>5</v>
      </c>
      <c r="H1876" s="196" t="s">
        <v>765</v>
      </c>
      <c r="I1876" s="196"/>
      <c r="J1876" s="196" t="s">
        <v>29</v>
      </c>
      <c r="K1876" s="196"/>
      <c r="L1876" s="196" t="str">
        <v xml:space="preserve"> 41.30</v>
      </c>
      <c r="M1876" s="196"/>
    </row>
    <row r="1877" spans="1:13" ht="14.4" x14ac:dyDescent="0.3">
      <c r="A1877" s="189" t="str">
        <f ca="1">IFERROR(__xludf.DUMMYFUNCTION("""COMPUTED_VALUE"""),"SR")</f>
        <v>SR</v>
      </c>
      <c r="B1877" s="195" t="str">
        <f ca="1">IFERROR(__xludf.DUMMYFUNCTION("""COMPUTED_VALUE"""),"Riley Douglas")</f>
        <v>Riley Douglas</v>
      </c>
      <c r="C1877" s="189">
        <f ca="1">IFERROR(__xludf.DUMMYFUNCTION("""COMPUTED_VALUE"""),7)</f>
        <v>7</v>
      </c>
      <c r="D1877" s="189" t="str">
        <f ca="1">IFERROR(__xludf.DUMMYFUNCTION("""COMPUTED_VALUE"""),"G")</f>
        <v>G</v>
      </c>
      <c r="E1877" s="189" t="str">
        <f ca="1">IFERROR(__xludf.DUMMYFUNCTION("""COMPUTED_VALUE"""),"F")</f>
        <v>F</v>
      </c>
      <c r="F1877" s="189" t="str">
        <f ca="1">IFERROR(__xludf.DUMMYFUNCTION("""COMPUTED_VALUE"""),"J")</f>
        <v>J</v>
      </c>
      <c r="G1877" s="189">
        <f ca="1">IFERROR(__xludf.DUMMYFUNCTION("""COMPUTED_VALUE"""),5)</f>
        <v>5</v>
      </c>
      <c r="H1877" s="196"/>
      <c r="I1877" s="196"/>
      <c r="J1877" s="196"/>
      <c r="K1877" s="196"/>
      <c r="L1877" s="196" t="str">
        <v/>
      </c>
      <c r="M1877" s="196"/>
    </row>
    <row r="1878" spans="1:13" ht="14.4" x14ac:dyDescent="0.3">
      <c r="A1878" s="189" t="str">
        <f ca="1">IFERROR(__xludf.DUMMYFUNCTION("""COMPUTED_VALUE"""),"SR")</f>
        <v>SR</v>
      </c>
      <c r="B1878" s="195" t="str">
        <f ca="1">IFERROR(__xludf.DUMMYFUNCTION("""COMPUTED_VALUE"""),"Scarlett Mintzer")</f>
        <v>Scarlett Mintzer</v>
      </c>
      <c r="C1878" s="189">
        <f ca="1">IFERROR(__xludf.DUMMYFUNCTION("""COMPUTED_VALUE"""),10)</f>
        <v>10</v>
      </c>
      <c r="D1878" s="189" t="str">
        <f ca="1">IFERROR(__xludf.DUMMYFUNCTION("""COMPUTED_VALUE"""),"G")</f>
        <v>G</v>
      </c>
      <c r="E1878" s="189" t="str">
        <f ca="1">IFERROR(__xludf.DUMMYFUNCTION("""COMPUTED_VALUE"""),"F")</f>
        <v>F</v>
      </c>
      <c r="F1878" s="189" t="str">
        <f ca="1">IFERROR(__xludf.DUMMYFUNCTION("""COMPUTED_VALUE"""),"J")</f>
        <v>J</v>
      </c>
      <c r="G1878" s="189">
        <f ca="1">IFERROR(__xludf.DUMMYFUNCTION("""COMPUTED_VALUE"""),5)</f>
        <v>5</v>
      </c>
      <c r="H1878" s="196"/>
      <c r="I1878" s="196"/>
      <c r="J1878" s="196"/>
      <c r="K1878" s="196"/>
      <c r="L1878" s="196" t="str">
        <v/>
      </c>
      <c r="M1878" s="196"/>
    </row>
    <row r="1879" spans="1:13" ht="14.4" x14ac:dyDescent="0.3">
      <c r="A1879" s="189" t="str">
        <f ca="1">IFERROR(__xludf.DUMMYFUNCTION("""COMPUTED_VALUE"""),"SR")</f>
        <v>SR</v>
      </c>
      <c r="B1879" s="195" t="str">
        <f ca="1">IFERROR(__xludf.DUMMYFUNCTION("""COMPUTED_VALUE"""),"Charles Shingleton")</f>
        <v>Charles Shingleton</v>
      </c>
      <c r="C1879" s="189">
        <f ca="1">IFERROR(__xludf.DUMMYFUNCTION("""COMPUTED_VALUE"""),9)</f>
        <v>9</v>
      </c>
      <c r="D1879" s="189" t="str">
        <f ca="1">IFERROR(__xludf.DUMMYFUNCTION("""COMPUTED_VALUE"""),"B")</f>
        <v>B</v>
      </c>
      <c r="E1879" s="189" t="str">
        <f ca="1">IFERROR(__xludf.DUMMYFUNCTION("""COMPUTED_VALUE"""),"F")</f>
        <v>F</v>
      </c>
      <c r="F1879" s="189" t="str">
        <f ca="1">IFERROR(__xludf.DUMMYFUNCTION("""COMPUTED_VALUE"""),"J")</f>
        <v>J</v>
      </c>
      <c r="G1879" s="189">
        <f ca="1">IFERROR(__xludf.DUMMYFUNCTION("""COMPUTED_VALUE"""),5)</f>
        <v>5</v>
      </c>
      <c r="H1879" s="196"/>
      <c r="I1879" s="196"/>
      <c r="J1879" s="196"/>
      <c r="K1879" s="196"/>
      <c r="L1879" s="196" t="str">
        <v/>
      </c>
      <c r="M1879" s="196"/>
    </row>
    <row r="1880" spans="1:13" ht="14.4" x14ac:dyDescent="0.3">
      <c r="A1880" s="189" t="str">
        <f ca="1">IFERROR(__xludf.DUMMYFUNCTION("""COMPUTED_VALUE"""),"SR")</f>
        <v>SR</v>
      </c>
      <c r="B1880" s="195" t="str">
        <f ca="1">IFERROR(__xludf.DUMMYFUNCTION("""COMPUTED_VALUE"""),"Cormac Moore")</f>
        <v>Cormac Moore</v>
      </c>
      <c r="C1880" s="189">
        <f ca="1">IFERROR(__xludf.DUMMYFUNCTION("""COMPUTED_VALUE"""),10)</f>
        <v>10</v>
      </c>
      <c r="D1880" s="189" t="str">
        <f ca="1">IFERROR(__xludf.DUMMYFUNCTION("""COMPUTED_VALUE"""),"B")</f>
        <v>B</v>
      </c>
      <c r="E1880" s="189" t="str">
        <f ca="1">IFERROR(__xludf.DUMMYFUNCTION("""COMPUTED_VALUE"""),"F")</f>
        <v>F</v>
      </c>
      <c r="F1880" s="189" t="str">
        <f ca="1">IFERROR(__xludf.DUMMYFUNCTION("""COMPUTED_VALUE"""),"J")</f>
        <v>J</v>
      </c>
      <c r="G1880" s="189">
        <f ca="1">IFERROR(__xludf.DUMMYFUNCTION("""COMPUTED_VALUE"""),5)</f>
        <v>5</v>
      </c>
      <c r="H1880" s="196" t="s">
        <v>766</v>
      </c>
      <c r="I1880" s="196"/>
      <c r="J1880" s="196" t="s">
        <v>29</v>
      </c>
      <c r="K1880" s="196"/>
      <c r="L1880" s="196" t="str">
        <v xml:space="preserve"> 31.05</v>
      </c>
      <c r="M1880" s="196"/>
    </row>
    <row r="1881" spans="1:13" ht="14.4" x14ac:dyDescent="0.3">
      <c r="A1881" s="189" t="str">
        <f ca="1">IFERROR(__xludf.DUMMYFUNCTION("""COMPUTED_VALUE"""),"SR")</f>
        <v>SR</v>
      </c>
      <c r="B1881" s="195" t="str">
        <f ca="1">IFERROR(__xludf.DUMMYFUNCTION("""COMPUTED_VALUE"""),"Finley O'Driscoll")</f>
        <v>Finley O'Driscoll</v>
      </c>
      <c r="C1881" s="189">
        <f ca="1">IFERROR(__xludf.DUMMYFUNCTION("""COMPUTED_VALUE"""),8)</f>
        <v>8</v>
      </c>
      <c r="D1881" s="189" t="str">
        <f ca="1">IFERROR(__xludf.DUMMYFUNCTION("""COMPUTED_VALUE"""),"B")</f>
        <v>B</v>
      </c>
      <c r="E1881" s="189" t="str">
        <f ca="1">IFERROR(__xludf.DUMMYFUNCTION("""COMPUTED_VALUE"""),"F")</f>
        <v>F</v>
      </c>
      <c r="F1881" s="189" t="str">
        <f ca="1">IFERROR(__xludf.DUMMYFUNCTION("""COMPUTED_VALUE"""),"J")</f>
        <v>J</v>
      </c>
      <c r="G1881" s="189">
        <f ca="1">IFERROR(__xludf.DUMMYFUNCTION("""COMPUTED_VALUE"""),5)</f>
        <v>5</v>
      </c>
      <c r="H1881" s="196"/>
      <c r="I1881" s="196"/>
      <c r="J1881" s="196"/>
      <c r="K1881" s="196"/>
      <c r="L1881" s="196" t="str">
        <v/>
      </c>
      <c r="M1881" s="196"/>
    </row>
    <row r="1882" spans="1:13" ht="14.4" x14ac:dyDescent="0.3">
      <c r="A1882" s="189" t="str">
        <f ca="1">IFERROR(__xludf.DUMMYFUNCTION("""COMPUTED_VALUE"""),"SR")</f>
        <v>SR</v>
      </c>
      <c r="B1882" s="195" t="str">
        <f ca="1">IFERROR(__xludf.DUMMYFUNCTION("""COMPUTED_VALUE"""),"Jackson Markey")</f>
        <v>Jackson Markey</v>
      </c>
      <c r="C1882" s="189">
        <f ca="1">IFERROR(__xludf.DUMMYFUNCTION("""COMPUTED_VALUE"""),9)</f>
        <v>9</v>
      </c>
      <c r="D1882" s="189" t="str">
        <f ca="1">IFERROR(__xludf.DUMMYFUNCTION("""COMPUTED_VALUE"""),"B")</f>
        <v>B</v>
      </c>
      <c r="E1882" s="189" t="str">
        <f ca="1">IFERROR(__xludf.DUMMYFUNCTION("""COMPUTED_VALUE"""),"F")</f>
        <v>F</v>
      </c>
      <c r="F1882" s="189" t="str">
        <f ca="1">IFERROR(__xludf.DUMMYFUNCTION("""COMPUTED_VALUE"""),"J")</f>
        <v>J</v>
      </c>
      <c r="G1882" s="189">
        <f ca="1">IFERROR(__xludf.DUMMYFUNCTION("""COMPUTED_VALUE"""),5)</f>
        <v>5</v>
      </c>
      <c r="H1882" s="196" t="s">
        <v>575</v>
      </c>
      <c r="I1882" s="196"/>
      <c r="J1882" s="196" t="s">
        <v>29</v>
      </c>
      <c r="K1882" s="196"/>
      <c r="L1882" s="196" t="str">
        <v xml:space="preserve"> 8.75</v>
      </c>
      <c r="M1882" s="196"/>
    </row>
    <row r="1883" spans="1:13" ht="14.4" x14ac:dyDescent="0.3">
      <c r="A1883" s="189" t="str">
        <f ca="1">IFERROR(__xludf.DUMMYFUNCTION("""COMPUTED_VALUE"""),"SR")</f>
        <v>SR</v>
      </c>
      <c r="B1883" s="195" t="str">
        <f ca="1">IFERROR(__xludf.DUMMYFUNCTION("""COMPUTED_VALUE"""),"Louis Mintzer")</f>
        <v>Louis Mintzer</v>
      </c>
      <c r="C1883" s="189">
        <f ca="1">IFERROR(__xludf.DUMMYFUNCTION("""COMPUTED_VALUE"""),8)</f>
        <v>8</v>
      </c>
      <c r="D1883" s="189" t="str">
        <f ca="1">IFERROR(__xludf.DUMMYFUNCTION("""COMPUTED_VALUE"""),"B")</f>
        <v>B</v>
      </c>
      <c r="E1883" s="189" t="str">
        <f ca="1">IFERROR(__xludf.DUMMYFUNCTION("""COMPUTED_VALUE"""),"F")</f>
        <v>F</v>
      </c>
      <c r="F1883" s="189" t="str">
        <f ca="1">IFERROR(__xludf.DUMMYFUNCTION("""COMPUTED_VALUE"""),"J")</f>
        <v>J</v>
      </c>
      <c r="G1883" s="189">
        <f ca="1">IFERROR(__xludf.DUMMYFUNCTION("""COMPUTED_VALUE"""),5)</f>
        <v>5</v>
      </c>
      <c r="H1883" s="196"/>
      <c r="I1883" s="196"/>
      <c r="J1883" s="196"/>
      <c r="K1883" s="196"/>
      <c r="L1883" s="196" t="str">
        <v/>
      </c>
      <c r="M1883" s="196"/>
    </row>
    <row r="1884" spans="1:13" ht="14.4" x14ac:dyDescent="0.3">
      <c r="A1884" s="189" t="str">
        <f ca="1">IFERROR(__xludf.DUMMYFUNCTION("""COMPUTED_VALUE"""),"SR")</f>
        <v>SR</v>
      </c>
      <c r="B1884" s="195" t="str">
        <f ca="1">IFERROR(__xludf.DUMMYFUNCTION("""COMPUTED_VALUE"""),"Michael Barnett")</f>
        <v>Michael Barnett</v>
      </c>
      <c r="C1884" s="189">
        <f ca="1">IFERROR(__xludf.DUMMYFUNCTION("""COMPUTED_VALUE"""),9)</f>
        <v>9</v>
      </c>
      <c r="D1884" s="189" t="str">
        <f ca="1">IFERROR(__xludf.DUMMYFUNCTION("""COMPUTED_VALUE"""),"B")</f>
        <v>B</v>
      </c>
      <c r="E1884" s="189" t="str">
        <f ca="1">IFERROR(__xludf.DUMMYFUNCTION("""COMPUTED_VALUE"""),"F")</f>
        <v>F</v>
      </c>
      <c r="F1884" s="189" t="str">
        <f ca="1">IFERROR(__xludf.DUMMYFUNCTION("""COMPUTED_VALUE"""),"J")</f>
        <v>J</v>
      </c>
      <c r="G1884" s="189">
        <f ca="1">IFERROR(__xludf.DUMMYFUNCTION("""COMPUTED_VALUE"""),5)</f>
        <v>5</v>
      </c>
      <c r="H1884" s="196"/>
      <c r="I1884" s="196"/>
      <c r="J1884" s="196"/>
      <c r="K1884" s="196"/>
      <c r="L1884" s="196" t="str">
        <v/>
      </c>
      <c r="M1884" s="196"/>
    </row>
    <row r="1885" spans="1:13" ht="14.4" x14ac:dyDescent="0.3">
      <c r="A1885" s="189" t="str">
        <f ca="1">IFERROR(__xludf.DUMMYFUNCTION("""COMPUTED_VALUE"""),"SR")</f>
        <v>SR</v>
      </c>
      <c r="B1885" s="195" t="str">
        <f ca="1">IFERROR(__xludf.DUMMYFUNCTION("""COMPUTED_VALUE"""),"Sullivan Moore")</f>
        <v>Sullivan Moore</v>
      </c>
      <c r="C1885" s="189">
        <f ca="1">IFERROR(__xludf.DUMMYFUNCTION("""COMPUTED_VALUE"""),9)</f>
        <v>9</v>
      </c>
      <c r="D1885" s="189" t="str">
        <f ca="1">IFERROR(__xludf.DUMMYFUNCTION("""COMPUTED_VALUE"""),"B")</f>
        <v>B</v>
      </c>
      <c r="E1885" s="189" t="str">
        <f ca="1">IFERROR(__xludf.DUMMYFUNCTION("""COMPUTED_VALUE"""),"F")</f>
        <v>F</v>
      </c>
      <c r="F1885" s="189" t="str">
        <f ca="1">IFERROR(__xludf.DUMMYFUNCTION("""COMPUTED_VALUE"""),"J")</f>
        <v>J</v>
      </c>
      <c r="G1885" s="189">
        <f ca="1">IFERROR(__xludf.DUMMYFUNCTION("""COMPUTED_VALUE"""),5)</f>
        <v>5</v>
      </c>
      <c r="H1885" s="196" t="s">
        <v>767</v>
      </c>
      <c r="I1885" s="196"/>
      <c r="J1885" s="196" t="s">
        <v>29</v>
      </c>
      <c r="K1885" s="196"/>
      <c r="L1885" s="196" t="str">
        <v xml:space="preserve"> 26.30</v>
      </c>
      <c r="M1885" s="196"/>
    </row>
    <row r="1886" spans="1:13" ht="14.4" x14ac:dyDescent="0.3">
      <c r="A1886" s="189" t="str">
        <f ca="1">IFERROR(__xludf.DUMMYFUNCTION("""COMPUTED_VALUE"""),"SR")</f>
        <v>SR</v>
      </c>
      <c r="B1886" s="195" t="str">
        <f ca="1">IFERROR(__xludf.DUMMYFUNCTION("""COMPUTED_VALUE"""),"Bryan Markey")</f>
        <v>Bryan Markey</v>
      </c>
      <c r="C1886" s="189">
        <f ca="1">IFERROR(__xludf.DUMMYFUNCTION("""COMPUTED_VALUE"""),13)</f>
        <v>13</v>
      </c>
      <c r="D1886" s="189" t="str">
        <f ca="1">IFERROR(__xludf.DUMMYFUNCTION("""COMPUTED_VALUE"""),"B")</f>
        <v>B</v>
      </c>
      <c r="E1886" s="189" t="str">
        <f ca="1">IFERROR(__xludf.DUMMYFUNCTION("""COMPUTED_VALUE"""),"I")</f>
        <v>I</v>
      </c>
      <c r="F1886" s="189" t="str">
        <f ca="1">IFERROR(__xludf.DUMMYFUNCTION("""COMPUTED_VALUE"""),"S")</f>
        <v>S</v>
      </c>
      <c r="G1886" s="189">
        <f ca="1">IFERROR(__xludf.DUMMYFUNCTION("""COMPUTED_VALUE"""),5)</f>
        <v>5</v>
      </c>
      <c r="H1886" s="196" t="s">
        <v>768</v>
      </c>
      <c r="I1886" s="196"/>
      <c r="J1886" s="196" t="s">
        <v>29</v>
      </c>
      <c r="K1886" s="196"/>
      <c r="L1886" s="196" t="str">
        <v xml:space="preserve"> 91.85</v>
      </c>
      <c r="M1886" s="196"/>
    </row>
    <row r="1887" spans="1:13" ht="14.4" x14ac:dyDescent="0.3">
      <c r="A1887" s="189" t="str">
        <f ca="1">IFERROR(__xludf.DUMMYFUNCTION("""COMPUTED_VALUE"""),"SR")</f>
        <v>SR</v>
      </c>
      <c r="B1887" s="195" t="str">
        <f ca="1">IFERROR(__xludf.DUMMYFUNCTION("""COMPUTED_VALUE"""),"Dylan Wilson")</f>
        <v>Dylan Wilson</v>
      </c>
      <c r="C1887" s="189">
        <f ca="1">IFERROR(__xludf.DUMMYFUNCTION("""COMPUTED_VALUE"""),13)</f>
        <v>13</v>
      </c>
      <c r="D1887" s="189" t="str">
        <f ca="1">IFERROR(__xludf.DUMMYFUNCTION("""COMPUTED_VALUE"""),"B")</f>
        <v>B</v>
      </c>
      <c r="E1887" s="189" t="str">
        <f ca="1">IFERROR(__xludf.DUMMYFUNCTION("""COMPUTED_VALUE"""),"I")</f>
        <v>I</v>
      </c>
      <c r="F1887" s="189" t="str">
        <f ca="1">IFERROR(__xludf.DUMMYFUNCTION("""COMPUTED_VALUE"""),"S")</f>
        <v>S</v>
      </c>
      <c r="G1887" s="189">
        <f ca="1">IFERROR(__xludf.DUMMYFUNCTION("""COMPUTED_VALUE"""),5)</f>
        <v>5</v>
      </c>
      <c r="H1887" s="196"/>
      <c r="I1887" s="196"/>
      <c r="J1887" s="196"/>
      <c r="K1887" s="196"/>
      <c r="L1887" s="196" t="str">
        <v/>
      </c>
      <c r="M1887" s="196"/>
    </row>
    <row r="1888" spans="1:13" ht="14.4" x14ac:dyDescent="0.3">
      <c r="A1888" s="189" t="str">
        <f ca="1">IFERROR(__xludf.DUMMYFUNCTION("""COMPUTED_VALUE"""),"SR")</f>
        <v>SR</v>
      </c>
      <c r="B1888" s="195" t="str">
        <f ca="1">IFERROR(__xludf.DUMMYFUNCTION("""COMPUTED_VALUE"""),"Walter Simonsen")</f>
        <v>Walter Simonsen</v>
      </c>
      <c r="C1888" s="189">
        <f ca="1">IFERROR(__xludf.DUMMYFUNCTION("""COMPUTED_VALUE"""),13)</f>
        <v>13</v>
      </c>
      <c r="D1888" s="189" t="str">
        <f ca="1">IFERROR(__xludf.DUMMYFUNCTION("""COMPUTED_VALUE"""),"B")</f>
        <v>B</v>
      </c>
      <c r="E1888" s="189" t="str">
        <f ca="1">IFERROR(__xludf.DUMMYFUNCTION("""COMPUTED_VALUE"""),"I")</f>
        <v>I</v>
      </c>
      <c r="F1888" s="189" t="str">
        <f ca="1">IFERROR(__xludf.DUMMYFUNCTION("""COMPUTED_VALUE"""),"S")</f>
        <v>S</v>
      </c>
      <c r="G1888" s="189">
        <f ca="1">IFERROR(__xludf.DUMMYFUNCTION("""COMPUTED_VALUE"""),5)</f>
        <v>5</v>
      </c>
      <c r="H1888" s="196" t="s">
        <v>769</v>
      </c>
      <c r="I1888" s="196"/>
      <c r="J1888" s="196" t="s">
        <v>29</v>
      </c>
      <c r="K1888" s="196"/>
      <c r="L1888" s="196" t="str">
        <v xml:space="preserve"> 84.20</v>
      </c>
      <c r="M1888" s="196"/>
    </row>
    <row r="1889" spans="1:13" ht="14.4" x14ac:dyDescent="0.3">
      <c r="A1889" s="189" t="str">
        <f ca="1">IFERROR(__xludf.DUMMYFUNCTION("""COMPUTED_VALUE"""),"SR")</f>
        <v>SR</v>
      </c>
      <c r="B1889" s="195" t="str">
        <f ca="1">IFERROR(__xludf.DUMMYFUNCTION("""COMPUTED_VALUE"""),"Brenna Daniel")</f>
        <v>Brenna Daniel</v>
      </c>
      <c r="C1889" s="189">
        <f ca="1">IFERROR(__xludf.DUMMYFUNCTION("""COMPUTED_VALUE"""),12)</f>
        <v>12</v>
      </c>
      <c r="D1889" s="189" t="str">
        <f ca="1">IFERROR(__xludf.DUMMYFUNCTION("""COMPUTED_VALUE"""),"G")</f>
        <v>G</v>
      </c>
      <c r="E1889" s="189" t="str">
        <f ca="1">IFERROR(__xludf.DUMMYFUNCTION("""COMPUTED_VALUE"""),"J")</f>
        <v>J</v>
      </c>
      <c r="F1889" s="189" t="str">
        <f ca="1">IFERROR(__xludf.DUMMYFUNCTION("""COMPUTED_VALUE"""),"I")</f>
        <v>I</v>
      </c>
      <c r="G1889" s="189">
        <f ca="1">IFERROR(__xludf.DUMMYFUNCTION("""COMPUTED_VALUE"""),5)</f>
        <v>5</v>
      </c>
      <c r="H1889" s="196"/>
      <c r="I1889" s="196"/>
      <c r="J1889" s="196"/>
      <c r="K1889" s="196"/>
      <c r="L1889" s="196" t="str">
        <v/>
      </c>
      <c r="M1889" s="196"/>
    </row>
    <row r="1890" spans="1:13" ht="14.4" x14ac:dyDescent="0.3">
      <c r="A1890" s="189" t="str">
        <f ca="1">IFERROR(__xludf.DUMMYFUNCTION("""COMPUTED_VALUE"""),"SR")</f>
        <v>SR</v>
      </c>
      <c r="B1890" s="195" t="str">
        <f ca="1">IFERROR(__xludf.DUMMYFUNCTION("""COMPUTED_VALUE"""),"Cora Bellomo")</f>
        <v>Cora Bellomo</v>
      </c>
      <c r="C1890" s="189">
        <f ca="1">IFERROR(__xludf.DUMMYFUNCTION("""COMPUTED_VALUE"""),11)</f>
        <v>11</v>
      </c>
      <c r="D1890" s="189" t="str">
        <f ca="1">IFERROR(__xludf.DUMMYFUNCTION("""COMPUTED_VALUE"""),"G")</f>
        <v>G</v>
      </c>
      <c r="E1890" s="189" t="str">
        <f ca="1">IFERROR(__xludf.DUMMYFUNCTION("""COMPUTED_VALUE"""),"J")</f>
        <v>J</v>
      </c>
      <c r="F1890" s="189" t="str">
        <f ca="1">IFERROR(__xludf.DUMMYFUNCTION("""COMPUTED_VALUE"""),"I")</f>
        <v>I</v>
      </c>
      <c r="G1890" s="189">
        <f ca="1">IFERROR(__xludf.DUMMYFUNCTION("""COMPUTED_VALUE"""),5)</f>
        <v>5</v>
      </c>
      <c r="H1890" s="196" t="s">
        <v>770</v>
      </c>
      <c r="I1890" s="196"/>
      <c r="J1890" s="196" t="s">
        <v>29</v>
      </c>
      <c r="K1890" s="196"/>
      <c r="L1890" s="196" t="str">
        <v xml:space="preserve"> 73.85</v>
      </c>
      <c r="M1890" s="196"/>
    </row>
    <row r="1891" spans="1:13" ht="14.4" x14ac:dyDescent="0.3">
      <c r="A1891" s="189" t="str">
        <f ca="1">IFERROR(__xludf.DUMMYFUNCTION("""COMPUTED_VALUE"""),"SR")</f>
        <v>SR</v>
      </c>
      <c r="B1891" s="195" t="str">
        <f ca="1">IFERROR(__xludf.DUMMYFUNCTION("""COMPUTED_VALUE"""),"Kendall Wilson")</f>
        <v>Kendall Wilson</v>
      </c>
      <c r="C1891" s="189">
        <f ca="1">IFERROR(__xludf.DUMMYFUNCTION("""COMPUTED_VALUE"""),11)</f>
        <v>11</v>
      </c>
      <c r="D1891" s="189" t="str">
        <f ca="1">IFERROR(__xludf.DUMMYFUNCTION("""COMPUTED_VALUE"""),"G")</f>
        <v>G</v>
      </c>
      <c r="E1891" s="189" t="str">
        <f ca="1">IFERROR(__xludf.DUMMYFUNCTION("""COMPUTED_VALUE"""),"J")</f>
        <v>J</v>
      </c>
      <c r="F1891" s="189" t="str">
        <f ca="1">IFERROR(__xludf.DUMMYFUNCTION("""COMPUTED_VALUE"""),"I")</f>
        <v>I</v>
      </c>
      <c r="G1891" s="189">
        <f ca="1">IFERROR(__xludf.DUMMYFUNCTION("""COMPUTED_VALUE"""),5)</f>
        <v>5</v>
      </c>
      <c r="H1891" s="196" t="s">
        <v>771</v>
      </c>
      <c r="I1891" s="196"/>
      <c r="J1891" s="196" t="s">
        <v>29</v>
      </c>
      <c r="K1891" s="196"/>
      <c r="L1891" s="196" t="str">
        <v xml:space="preserve"> 80.10</v>
      </c>
      <c r="M1891" s="196"/>
    </row>
    <row r="1892" spans="1:13" ht="14.4" x14ac:dyDescent="0.3">
      <c r="A1892" s="189" t="str">
        <f ca="1">IFERROR(__xludf.DUMMYFUNCTION("""COMPUTED_VALUE"""),"SR")</f>
        <v>SR</v>
      </c>
      <c r="B1892" s="195" t="str">
        <f ca="1">IFERROR(__xludf.DUMMYFUNCTION("""COMPUTED_VALUE"""),"Millie Bardolf")</f>
        <v>Millie Bardolf</v>
      </c>
      <c r="C1892" s="189">
        <f ca="1">IFERROR(__xludf.DUMMYFUNCTION("""COMPUTED_VALUE"""),11)</f>
        <v>11</v>
      </c>
      <c r="D1892" s="189" t="str">
        <f ca="1">IFERROR(__xludf.DUMMYFUNCTION("""COMPUTED_VALUE"""),"G")</f>
        <v>G</v>
      </c>
      <c r="E1892" s="189" t="str">
        <f ca="1">IFERROR(__xludf.DUMMYFUNCTION("""COMPUTED_VALUE"""),"J")</f>
        <v>J</v>
      </c>
      <c r="F1892" s="189" t="str">
        <f ca="1">IFERROR(__xludf.DUMMYFUNCTION("""COMPUTED_VALUE"""),"I")</f>
        <v>I</v>
      </c>
      <c r="G1892" s="189">
        <f ca="1">IFERROR(__xludf.DUMMYFUNCTION("""COMPUTED_VALUE"""),5)</f>
        <v>5</v>
      </c>
      <c r="H1892" s="196"/>
      <c r="I1892" s="196"/>
      <c r="J1892" s="196"/>
      <c r="K1892" s="196"/>
      <c r="L1892" s="196" t="str">
        <v/>
      </c>
      <c r="M1892" s="196"/>
    </row>
    <row r="1893" spans="1:13" ht="14.4" x14ac:dyDescent="0.3">
      <c r="A1893" s="189" t="str">
        <f ca="1">IFERROR(__xludf.DUMMYFUNCTION("""COMPUTED_VALUE"""),"SR")</f>
        <v>SR</v>
      </c>
      <c r="B1893" s="195" t="str">
        <f ca="1">IFERROR(__xludf.DUMMYFUNCTION("""COMPUTED_VALUE"""),"Jonah Engle")</f>
        <v>Jonah Engle</v>
      </c>
      <c r="C1893" s="189">
        <f ca="1">IFERROR(__xludf.DUMMYFUNCTION("""COMPUTED_VALUE"""),12)</f>
        <v>12</v>
      </c>
      <c r="D1893" s="189" t="str">
        <f ca="1">IFERROR(__xludf.DUMMYFUNCTION("""COMPUTED_VALUE"""),"B")</f>
        <v>B</v>
      </c>
      <c r="E1893" s="189" t="str">
        <f ca="1">IFERROR(__xludf.DUMMYFUNCTION("""COMPUTED_VALUE"""),"J")</f>
        <v>J</v>
      </c>
      <c r="F1893" s="189" t="str">
        <f ca="1">IFERROR(__xludf.DUMMYFUNCTION("""COMPUTED_VALUE"""),"I")</f>
        <v>I</v>
      </c>
      <c r="G1893" s="189">
        <f ca="1">IFERROR(__xludf.DUMMYFUNCTION("""COMPUTED_VALUE"""),5)</f>
        <v>5</v>
      </c>
      <c r="H1893" s="196"/>
      <c r="I1893" s="196"/>
      <c r="J1893" s="196"/>
      <c r="K1893" s="196"/>
      <c r="L1893" s="196" t="str">
        <v/>
      </c>
      <c r="M1893" s="196"/>
    </row>
    <row r="1894" spans="1:13" ht="14.4" x14ac:dyDescent="0.3">
      <c r="A1894" s="189" t="str">
        <f ca="1">IFERROR(__xludf.DUMMYFUNCTION("""COMPUTED_VALUE"""),"SR")</f>
        <v>SR</v>
      </c>
      <c r="B1894" s="195" t="str">
        <f ca="1">IFERROR(__xludf.DUMMYFUNCTION("""COMPUTED_VALUE"""),"Alyssa Proulx")</f>
        <v>Alyssa Proulx</v>
      </c>
      <c r="C1894" s="189">
        <f ca="1">IFERROR(__xludf.DUMMYFUNCTION("""COMPUTED_VALUE"""),17)</f>
        <v>17</v>
      </c>
      <c r="D1894" s="189" t="str">
        <f ca="1">IFERROR(__xludf.DUMMYFUNCTION("""COMPUTED_VALUE"""),"G")</f>
        <v>G</v>
      </c>
      <c r="E1894" s="189" t="str">
        <f ca="1">IFERROR(__xludf.DUMMYFUNCTION("""COMPUTED_VALUE"""),"S")</f>
        <v>S</v>
      </c>
      <c r="F1894" s="189" t="str">
        <f ca="1">IFERROR(__xludf.DUMMYFUNCTION("""COMPUTED_VALUE"""),"S")</f>
        <v>S</v>
      </c>
      <c r="G1894" s="189">
        <f ca="1">IFERROR(__xludf.DUMMYFUNCTION("""COMPUTED_VALUE"""),5)</f>
        <v>5</v>
      </c>
      <c r="H1894" s="196"/>
      <c r="I1894" s="196"/>
      <c r="J1894" s="196"/>
      <c r="K1894" s="196"/>
      <c r="L1894" s="196" t="str">
        <v/>
      </c>
      <c r="M1894" s="196"/>
    </row>
    <row r="1895" spans="1:13" ht="14.4" x14ac:dyDescent="0.3">
      <c r="A1895" s="189" t="str">
        <f ca="1">IFERROR(__xludf.DUMMYFUNCTION("""COMPUTED_VALUE"""),"SR")</f>
        <v>SR</v>
      </c>
      <c r="B1895" s="195" t="str">
        <f ca="1">IFERROR(__xludf.DUMMYFUNCTION("""COMPUTED_VALUE"""),"Garrett Simonsen")</f>
        <v>Garrett Simonsen</v>
      </c>
      <c r="C1895" s="189">
        <f ca="1">IFERROR(__xludf.DUMMYFUNCTION("""COMPUTED_VALUE"""),15)</f>
        <v>15</v>
      </c>
      <c r="D1895" s="189" t="str">
        <f ca="1">IFERROR(__xludf.DUMMYFUNCTION("""COMPUTED_VALUE"""),"B")</f>
        <v>B</v>
      </c>
      <c r="E1895" s="189" t="str">
        <f ca="1">IFERROR(__xludf.DUMMYFUNCTION("""COMPUTED_VALUE"""),"S")</f>
        <v>S</v>
      </c>
      <c r="F1895" s="189" t="str">
        <f ca="1">IFERROR(__xludf.DUMMYFUNCTION("""COMPUTED_VALUE"""),"S")</f>
        <v>S</v>
      </c>
      <c r="G1895" s="189">
        <f ca="1">IFERROR(__xludf.DUMMYFUNCTION("""COMPUTED_VALUE"""),5)</f>
        <v>5</v>
      </c>
      <c r="H1895" s="196" t="s">
        <v>620</v>
      </c>
      <c r="I1895" s="196"/>
      <c r="J1895" s="196" t="s">
        <v>29</v>
      </c>
      <c r="K1895" s="196"/>
      <c r="L1895" s="196" t="str">
        <v xml:space="preserve"> 151.10</v>
      </c>
      <c r="M1895" s="196"/>
    </row>
    <row r="1896" spans="1:13" ht="14.4" x14ac:dyDescent="0.3">
      <c r="A1896" s="189" t="str">
        <f ca="1">IFERROR(__xludf.DUMMYFUNCTION("""COMPUTED_VALUE"""),"SR")</f>
        <v>SR</v>
      </c>
      <c r="B1896" s="195" t="str">
        <f ca="1">IFERROR(__xludf.DUMMYFUNCTION("""COMPUTED_VALUE"""),"Iskandar Aoun")</f>
        <v>Iskandar Aoun</v>
      </c>
      <c r="C1896" s="189">
        <f ca="1">IFERROR(__xludf.DUMMYFUNCTION("""COMPUTED_VALUE"""),16)</f>
        <v>16</v>
      </c>
      <c r="D1896" s="189" t="str">
        <f ca="1">IFERROR(__xludf.DUMMYFUNCTION("""COMPUTED_VALUE"""),"B")</f>
        <v>B</v>
      </c>
      <c r="E1896" s="189" t="str">
        <f ca="1">IFERROR(__xludf.DUMMYFUNCTION("""COMPUTED_VALUE"""),"S")</f>
        <v>S</v>
      </c>
      <c r="F1896" s="189" t="str">
        <f ca="1">IFERROR(__xludf.DUMMYFUNCTION("""COMPUTED_VALUE"""),"S")</f>
        <v>S</v>
      </c>
      <c r="G1896" s="189">
        <f ca="1">IFERROR(__xludf.DUMMYFUNCTION("""COMPUTED_VALUE"""),5)</f>
        <v>5</v>
      </c>
      <c r="H1896" s="196"/>
      <c r="I1896" s="196"/>
      <c r="J1896" s="196"/>
      <c r="K1896" s="196"/>
      <c r="L1896" s="196" t="str">
        <v/>
      </c>
      <c r="M1896" s="196"/>
    </row>
    <row r="1897" spans="1:13" ht="14.4" x14ac:dyDescent="0.3">
      <c r="A1897" s="189" t="str">
        <f ca="1">IFERROR(__xludf.DUMMYFUNCTION("""COMPUTED_VALUE"""),"SRA")</f>
        <v>SRA</v>
      </c>
      <c r="B1897" s="195" t="str">
        <f ca="1">IFERROR(__xludf.DUMMYFUNCTION("""COMPUTED_VALUE"""),"Anna Barry")</f>
        <v>Anna Barry</v>
      </c>
      <c r="C1897" s="189">
        <f ca="1">IFERROR(__xludf.DUMMYFUNCTION("""COMPUTED_VALUE"""),10)</f>
        <v>10</v>
      </c>
      <c r="D1897" s="189" t="str">
        <f ca="1">IFERROR(__xludf.DUMMYFUNCTION("""COMPUTED_VALUE"""),"G")</f>
        <v>G</v>
      </c>
      <c r="E1897" s="189" t="str">
        <f ca="1">IFERROR(__xludf.DUMMYFUNCTION("""COMPUTED_VALUE"""),"F")</f>
        <v>F</v>
      </c>
      <c r="F1897" s="189" t="str">
        <f ca="1">IFERROR(__xludf.DUMMYFUNCTION("""COMPUTED_VALUE"""),"J")</f>
        <v>J</v>
      </c>
      <c r="G1897" s="189">
        <f ca="1">IFERROR(__xludf.DUMMYFUNCTION("""COMPUTED_VALUE"""),8)</f>
        <v>8</v>
      </c>
      <c r="H1897" s="196"/>
      <c r="I1897" s="196"/>
      <c r="J1897" s="196"/>
      <c r="K1897" s="196"/>
      <c r="L1897" s="196" t="str">
        <v/>
      </c>
      <c r="M1897" s="196"/>
    </row>
    <row r="1898" spans="1:13" ht="14.4" x14ac:dyDescent="0.3">
      <c r="A1898" s="189" t="str">
        <f ca="1">IFERROR(__xludf.DUMMYFUNCTION("""COMPUTED_VALUE"""),"SRA")</f>
        <v>SRA</v>
      </c>
      <c r="B1898" s="195" t="str">
        <f ca="1">IFERROR(__xludf.DUMMYFUNCTION("""COMPUTED_VALUE"""),"Blaire Kellogg")</f>
        <v>Blaire Kellogg</v>
      </c>
      <c r="C1898" s="189">
        <f ca="1">IFERROR(__xludf.DUMMYFUNCTION("""COMPUTED_VALUE"""),5)</f>
        <v>5</v>
      </c>
      <c r="D1898" s="189" t="str">
        <f ca="1">IFERROR(__xludf.DUMMYFUNCTION("""COMPUTED_VALUE"""),"G")</f>
        <v>G</v>
      </c>
      <c r="E1898" s="189" t="str">
        <f ca="1">IFERROR(__xludf.DUMMYFUNCTION("""COMPUTED_VALUE"""),"F")</f>
        <v>F</v>
      </c>
      <c r="F1898" s="189" t="str">
        <f ca="1">IFERROR(__xludf.DUMMYFUNCTION("""COMPUTED_VALUE"""),"J")</f>
        <v>J</v>
      </c>
      <c r="G1898" s="189">
        <f ca="1">IFERROR(__xludf.DUMMYFUNCTION("""COMPUTED_VALUE"""),8)</f>
        <v>8</v>
      </c>
      <c r="H1898" s="196"/>
      <c r="I1898" s="196"/>
      <c r="J1898" s="196"/>
      <c r="K1898" s="196"/>
      <c r="L1898" s="196" t="str">
        <v/>
      </c>
      <c r="M1898" s="196"/>
    </row>
    <row r="1899" spans="1:13" ht="14.4" x14ac:dyDescent="0.3">
      <c r="A1899" s="189" t="str">
        <f ca="1">IFERROR(__xludf.DUMMYFUNCTION("""COMPUTED_VALUE"""),"SRA")</f>
        <v>SRA</v>
      </c>
      <c r="B1899" s="195" t="str">
        <f ca="1">IFERROR(__xludf.DUMMYFUNCTION("""COMPUTED_VALUE"""),"Caroline McAsey")</f>
        <v>Caroline McAsey</v>
      </c>
      <c r="C1899" s="189">
        <f ca="1">IFERROR(__xludf.DUMMYFUNCTION("""COMPUTED_VALUE"""),8)</f>
        <v>8</v>
      </c>
      <c r="D1899" s="189" t="str">
        <f ca="1">IFERROR(__xludf.DUMMYFUNCTION("""COMPUTED_VALUE"""),"G")</f>
        <v>G</v>
      </c>
      <c r="E1899" s="189" t="str">
        <f ca="1">IFERROR(__xludf.DUMMYFUNCTION("""COMPUTED_VALUE"""),"F")</f>
        <v>F</v>
      </c>
      <c r="F1899" s="189" t="str">
        <f ca="1">IFERROR(__xludf.DUMMYFUNCTION("""COMPUTED_VALUE"""),"J")</f>
        <v>J</v>
      </c>
      <c r="G1899" s="189">
        <f ca="1">IFERROR(__xludf.DUMMYFUNCTION("""COMPUTED_VALUE"""),8)</f>
        <v>8</v>
      </c>
      <c r="H1899" s="196" t="s">
        <v>772</v>
      </c>
      <c r="I1899" s="196"/>
      <c r="J1899" s="196" t="s">
        <v>29</v>
      </c>
      <c r="K1899" s="196"/>
      <c r="L1899" s="196" t="str">
        <v xml:space="preserve"> 43.45</v>
      </c>
      <c r="M1899" s="196"/>
    </row>
    <row r="1900" spans="1:13" ht="14.4" x14ac:dyDescent="0.3">
      <c r="A1900" s="189" t="str">
        <f ca="1">IFERROR(__xludf.DUMMYFUNCTION("""COMPUTED_VALUE"""),"SRA")</f>
        <v>SRA</v>
      </c>
      <c r="B1900" s="195" t="str">
        <f ca="1">IFERROR(__xludf.DUMMYFUNCTION("""COMPUTED_VALUE"""),"Claire McAsey")</f>
        <v>Claire McAsey</v>
      </c>
      <c r="C1900" s="189">
        <f ca="1">IFERROR(__xludf.DUMMYFUNCTION("""COMPUTED_VALUE"""),10)</f>
        <v>10</v>
      </c>
      <c r="D1900" s="189" t="str">
        <f ca="1">IFERROR(__xludf.DUMMYFUNCTION("""COMPUTED_VALUE"""),"G")</f>
        <v>G</v>
      </c>
      <c r="E1900" s="189" t="str">
        <f ca="1">IFERROR(__xludf.DUMMYFUNCTION("""COMPUTED_VALUE"""),"F")</f>
        <v>F</v>
      </c>
      <c r="F1900" s="189" t="str">
        <f ca="1">IFERROR(__xludf.DUMMYFUNCTION("""COMPUTED_VALUE"""),"J")</f>
        <v>J</v>
      </c>
      <c r="G1900" s="189">
        <f ca="1">IFERROR(__xludf.DUMMYFUNCTION("""COMPUTED_VALUE"""),8)</f>
        <v>8</v>
      </c>
      <c r="H1900" s="196" t="s">
        <v>773</v>
      </c>
      <c r="I1900" s="196"/>
      <c r="J1900" s="196" t="s">
        <v>29</v>
      </c>
      <c r="K1900" s="196"/>
      <c r="L1900" s="196" t="str">
        <v xml:space="preserve"> 54.00</v>
      </c>
      <c r="M1900" s="196"/>
    </row>
    <row r="1901" spans="1:13" ht="14.4" x14ac:dyDescent="0.3">
      <c r="A1901" s="189" t="str">
        <f ca="1">IFERROR(__xludf.DUMMYFUNCTION("""COMPUTED_VALUE"""),"SRA")</f>
        <v>SRA</v>
      </c>
      <c r="B1901" s="195" t="str">
        <f ca="1">IFERROR(__xludf.DUMMYFUNCTION("""COMPUTED_VALUE"""),"Claire Spinnler")</f>
        <v>Claire Spinnler</v>
      </c>
      <c r="C1901" s="189">
        <f ca="1">IFERROR(__xludf.DUMMYFUNCTION("""COMPUTED_VALUE"""),10)</f>
        <v>10</v>
      </c>
      <c r="D1901" s="189" t="str">
        <f ca="1">IFERROR(__xludf.DUMMYFUNCTION("""COMPUTED_VALUE"""),"G")</f>
        <v>G</v>
      </c>
      <c r="E1901" s="189" t="str">
        <f ca="1">IFERROR(__xludf.DUMMYFUNCTION("""COMPUTED_VALUE"""),"F")</f>
        <v>F</v>
      </c>
      <c r="F1901" s="189" t="str">
        <f ca="1">IFERROR(__xludf.DUMMYFUNCTION("""COMPUTED_VALUE"""),"J")</f>
        <v>J</v>
      </c>
      <c r="G1901" s="189">
        <f ca="1">IFERROR(__xludf.DUMMYFUNCTION("""COMPUTED_VALUE"""),8)</f>
        <v>8</v>
      </c>
      <c r="H1901" s="196"/>
      <c r="I1901" s="196"/>
      <c r="J1901" s="196"/>
      <c r="K1901" s="196"/>
      <c r="L1901" s="196" t="str">
        <v/>
      </c>
      <c r="M1901" s="196"/>
    </row>
    <row r="1902" spans="1:13" ht="14.4" x14ac:dyDescent="0.3">
      <c r="A1902" s="189" t="str">
        <f ca="1">IFERROR(__xludf.DUMMYFUNCTION("""COMPUTED_VALUE"""),"SRA")</f>
        <v>SRA</v>
      </c>
      <c r="B1902" s="195" t="str">
        <f ca="1">IFERROR(__xludf.DUMMYFUNCTION("""COMPUTED_VALUE"""),"Daniella Galligan")</f>
        <v>Daniella Galligan</v>
      </c>
      <c r="C1902" s="189">
        <f ca="1">IFERROR(__xludf.DUMMYFUNCTION("""COMPUTED_VALUE"""),9)</f>
        <v>9</v>
      </c>
      <c r="D1902" s="189" t="str">
        <f ca="1">IFERROR(__xludf.DUMMYFUNCTION("""COMPUTED_VALUE"""),"G")</f>
        <v>G</v>
      </c>
      <c r="E1902" s="189" t="str">
        <f ca="1">IFERROR(__xludf.DUMMYFUNCTION("""COMPUTED_VALUE"""),"F")</f>
        <v>F</v>
      </c>
      <c r="F1902" s="189" t="str">
        <f ca="1">IFERROR(__xludf.DUMMYFUNCTION("""COMPUTED_VALUE"""),"J")</f>
        <v>J</v>
      </c>
      <c r="G1902" s="189">
        <f ca="1">IFERROR(__xludf.DUMMYFUNCTION("""COMPUTED_VALUE"""),8)</f>
        <v>8</v>
      </c>
      <c r="H1902" s="196"/>
      <c r="I1902" s="196"/>
      <c r="J1902" s="196"/>
      <c r="K1902" s="196"/>
      <c r="L1902" s="196" t="str">
        <v/>
      </c>
      <c r="M1902" s="196"/>
    </row>
    <row r="1903" spans="1:13" ht="14.4" x14ac:dyDescent="0.3">
      <c r="A1903" s="189" t="str">
        <f ca="1">IFERROR(__xludf.DUMMYFUNCTION("""COMPUTED_VALUE"""),"SRA")</f>
        <v>SRA</v>
      </c>
      <c r="B1903" s="195" t="str">
        <f ca="1">IFERROR(__xludf.DUMMYFUNCTION("""COMPUTED_VALUE"""),"Ellie Clark")</f>
        <v>Ellie Clark</v>
      </c>
      <c r="C1903" s="189">
        <f ca="1">IFERROR(__xludf.DUMMYFUNCTION("""COMPUTED_VALUE"""),10)</f>
        <v>10</v>
      </c>
      <c r="D1903" s="189" t="str">
        <f ca="1">IFERROR(__xludf.DUMMYFUNCTION("""COMPUTED_VALUE"""),"G")</f>
        <v>G</v>
      </c>
      <c r="E1903" s="189" t="str">
        <f ca="1">IFERROR(__xludf.DUMMYFUNCTION("""COMPUTED_VALUE"""),"F")</f>
        <v>F</v>
      </c>
      <c r="F1903" s="189" t="str">
        <f ca="1">IFERROR(__xludf.DUMMYFUNCTION("""COMPUTED_VALUE"""),"J")</f>
        <v>J</v>
      </c>
      <c r="G1903" s="189">
        <f ca="1">IFERROR(__xludf.DUMMYFUNCTION("""COMPUTED_VALUE"""),8)</f>
        <v>8</v>
      </c>
      <c r="H1903" s="196"/>
      <c r="I1903" s="196"/>
      <c r="J1903" s="196"/>
      <c r="K1903" s="196"/>
      <c r="L1903" s="196" t="str">
        <v/>
      </c>
      <c r="M1903" s="196"/>
    </row>
    <row r="1904" spans="1:13" ht="14.4" x14ac:dyDescent="0.3">
      <c r="A1904" s="189" t="str">
        <f ca="1">IFERROR(__xludf.DUMMYFUNCTION("""COMPUTED_VALUE"""),"SRA")</f>
        <v>SRA</v>
      </c>
      <c r="B1904" s="195" t="str">
        <f ca="1">IFERROR(__xludf.DUMMYFUNCTION("""COMPUTED_VALUE"""),"Harper Lichte")</f>
        <v>Harper Lichte</v>
      </c>
      <c r="C1904" s="189">
        <f ca="1">IFERROR(__xludf.DUMMYFUNCTION("""COMPUTED_VALUE"""),7)</f>
        <v>7</v>
      </c>
      <c r="D1904" s="189" t="str">
        <f ca="1">IFERROR(__xludf.DUMMYFUNCTION("""COMPUTED_VALUE"""),"G")</f>
        <v>G</v>
      </c>
      <c r="E1904" s="189" t="str">
        <f ca="1">IFERROR(__xludf.DUMMYFUNCTION("""COMPUTED_VALUE"""),"F")</f>
        <v>F</v>
      </c>
      <c r="F1904" s="189" t="str">
        <f ca="1">IFERROR(__xludf.DUMMYFUNCTION("""COMPUTED_VALUE"""),"J")</f>
        <v>J</v>
      </c>
      <c r="G1904" s="189">
        <f ca="1">IFERROR(__xludf.DUMMYFUNCTION("""COMPUTED_VALUE"""),8)</f>
        <v>8</v>
      </c>
      <c r="H1904" s="196" t="s">
        <v>774</v>
      </c>
      <c r="I1904" s="196"/>
      <c r="J1904" s="196" t="s">
        <v>29</v>
      </c>
      <c r="K1904" s="196"/>
      <c r="L1904" s="196" t="str">
        <v xml:space="preserve"> 16.65</v>
      </c>
      <c r="M1904" s="196"/>
    </row>
    <row r="1905" spans="1:13" ht="14.4" x14ac:dyDescent="0.3">
      <c r="A1905" s="189" t="str">
        <f ca="1">IFERROR(__xludf.DUMMYFUNCTION("""COMPUTED_VALUE"""),"SRA")</f>
        <v>SRA</v>
      </c>
      <c r="B1905" s="195" t="str">
        <f ca="1">IFERROR(__xludf.DUMMYFUNCTION("""COMPUTED_VALUE"""),"Leila Hessell")</f>
        <v>Leila Hessell</v>
      </c>
      <c r="C1905" s="189">
        <f ca="1">IFERROR(__xludf.DUMMYFUNCTION("""COMPUTED_VALUE"""),8)</f>
        <v>8</v>
      </c>
      <c r="D1905" s="189" t="str">
        <f ca="1">IFERROR(__xludf.DUMMYFUNCTION("""COMPUTED_VALUE"""),"G")</f>
        <v>G</v>
      </c>
      <c r="E1905" s="189" t="str">
        <f ca="1">IFERROR(__xludf.DUMMYFUNCTION("""COMPUTED_VALUE"""),"F")</f>
        <v>F</v>
      </c>
      <c r="F1905" s="189" t="str">
        <f ca="1">IFERROR(__xludf.DUMMYFUNCTION("""COMPUTED_VALUE"""),"J")</f>
        <v>J</v>
      </c>
      <c r="G1905" s="189">
        <f ca="1">IFERROR(__xludf.DUMMYFUNCTION("""COMPUTED_VALUE"""),8)</f>
        <v>8</v>
      </c>
      <c r="H1905" s="196"/>
      <c r="I1905" s="196"/>
      <c r="J1905" s="196"/>
      <c r="K1905" s="196"/>
      <c r="L1905" s="196" t="str">
        <v/>
      </c>
      <c r="M1905" s="196"/>
    </row>
    <row r="1906" spans="1:13" ht="14.4" x14ac:dyDescent="0.3">
      <c r="A1906" s="189" t="str">
        <f ca="1">IFERROR(__xludf.DUMMYFUNCTION("""COMPUTED_VALUE"""),"SRA")</f>
        <v>SRA</v>
      </c>
      <c r="B1906" s="195" t="str">
        <f ca="1">IFERROR(__xludf.DUMMYFUNCTION("""COMPUTED_VALUE"""),"Lillian Ferguson")</f>
        <v>Lillian Ferguson</v>
      </c>
      <c r="C1906" s="189">
        <f ca="1">IFERROR(__xludf.DUMMYFUNCTION("""COMPUTED_VALUE"""),9)</f>
        <v>9</v>
      </c>
      <c r="D1906" s="189" t="str">
        <f ca="1">IFERROR(__xludf.DUMMYFUNCTION("""COMPUTED_VALUE"""),"G")</f>
        <v>G</v>
      </c>
      <c r="E1906" s="189" t="str">
        <f ca="1">IFERROR(__xludf.DUMMYFUNCTION("""COMPUTED_VALUE"""),"F")</f>
        <v>F</v>
      </c>
      <c r="F1906" s="189" t="str">
        <f ca="1">IFERROR(__xludf.DUMMYFUNCTION("""COMPUTED_VALUE"""),"J")</f>
        <v>J</v>
      </c>
      <c r="G1906" s="189">
        <f ca="1">IFERROR(__xludf.DUMMYFUNCTION("""COMPUTED_VALUE"""),8)</f>
        <v>8</v>
      </c>
      <c r="H1906" s="196"/>
      <c r="I1906" s="196"/>
      <c r="J1906" s="196"/>
      <c r="K1906" s="196"/>
      <c r="L1906" s="196" t="str">
        <v/>
      </c>
      <c r="M1906" s="196"/>
    </row>
    <row r="1907" spans="1:13" ht="14.4" x14ac:dyDescent="0.3">
      <c r="A1907" s="189" t="str">
        <f ca="1">IFERROR(__xludf.DUMMYFUNCTION("""COMPUTED_VALUE"""),"SRA")</f>
        <v>SRA</v>
      </c>
      <c r="B1907" s="195" t="str">
        <f ca="1">IFERROR(__xludf.DUMMYFUNCTION("""COMPUTED_VALUE"""),"Linnea Brolin")</f>
        <v>Linnea Brolin</v>
      </c>
      <c r="C1907" s="189">
        <f ca="1">IFERROR(__xludf.DUMMYFUNCTION("""COMPUTED_VALUE"""),9)</f>
        <v>9</v>
      </c>
      <c r="D1907" s="189" t="str">
        <f ca="1">IFERROR(__xludf.DUMMYFUNCTION("""COMPUTED_VALUE"""),"G")</f>
        <v>G</v>
      </c>
      <c r="E1907" s="189" t="str">
        <f ca="1">IFERROR(__xludf.DUMMYFUNCTION("""COMPUTED_VALUE"""),"F")</f>
        <v>F</v>
      </c>
      <c r="F1907" s="189" t="str">
        <f ca="1">IFERROR(__xludf.DUMMYFUNCTION("""COMPUTED_VALUE"""),"J")</f>
        <v>J</v>
      </c>
      <c r="G1907" s="189">
        <f ca="1">IFERROR(__xludf.DUMMYFUNCTION("""COMPUTED_VALUE"""),8)</f>
        <v>8</v>
      </c>
      <c r="H1907" s="196"/>
      <c r="I1907" s="196"/>
      <c r="J1907" s="196"/>
      <c r="K1907" s="196"/>
      <c r="L1907" s="196" t="str">
        <v/>
      </c>
      <c r="M1907" s="196"/>
    </row>
    <row r="1908" spans="1:13" ht="14.4" x14ac:dyDescent="0.3">
      <c r="A1908" s="189" t="str">
        <f ca="1">IFERROR(__xludf.DUMMYFUNCTION("""COMPUTED_VALUE"""),"SRA")</f>
        <v>SRA</v>
      </c>
      <c r="B1908" s="195" t="str">
        <f ca="1">IFERROR(__xludf.DUMMYFUNCTION("""COMPUTED_VALUE"""),"Liza Ferguson")</f>
        <v>Liza Ferguson</v>
      </c>
      <c r="C1908" s="189">
        <f ca="1">IFERROR(__xludf.DUMMYFUNCTION("""COMPUTED_VALUE"""),7)</f>
        <v>7</v>
      </c>
      <c r="D1908" s="189" t="str">
        <f ca="1">IFERROR(__xludf.DUMMYFUNCTION("""COMPUTED_VALUE"""),"G")</f>
        <v>G</v>
      </c>
      <c r="E1908" s="189" t="str">
        <f ca="1">IFERROR(__xludf.DUMMYFUNCTION("""COMPUTED_VALUE"""),"F")</f>
        <v>F</v>
      </c>
      <c r="F1908" s="189" t="str">
        <f ca="1">IFERROR(__xludf.DUMMYFUNCTION("""COMPUTED_VALUE"""),"J")</f>
        <v>J</v>
      </c>
      <c r="G1908" s="189">
        <f ca="1">IFERROR(__xludf.DUMMYFUNCTION("""COMPUTED_VALUE"""),8)</f>
        <v>8</v>
      </c>
      <c r="H1908" s="196"/>
      <c r="I1908" s="196"/>
      <c r="J1908" s="196"/>
      <c r="K1908" s="196"/>
      <c r="L1908" s="196" t="str">
        <v/>
      </c>
      <c r="M1908" s="196"/>
    </row>
    <row r="1909" spans="1:13" ht="14.4" x14ac:dyDescent="0.3">
      <c r="A1909" s="189" t="str">
        <f ca="1">IFERROR(__xludf.DUMMYFUNCTION("""COMPUTED_VALUE"""),"SRA")</f>
        <v>SRA</v>
      </c>
      <c r="B1909" s="195" t="str">
        <f ca="1">IFERROR(__xludf.DUMMYFUNCTION("""COMPUTED_VALUE"""),"Lizzy Brown")</f>
        <v>Lizzy Brown</v>
      </c>
      <c r="C1909" s="189">
        <f ca="1">IFERROR(__xludf.DUMMYFUNCTION("""COMPUTED_VALUE"""),8)</f>
        <v>8</v>
      </c>
      <c r="D1909" s="189" t="str">
        <f ca="1">IFERROR(__xludf.DUMMYFUNCTION("""COMPUTED_VALUE"""),"G")</f>
        <v>G</v>
      </c>
      <c r="E1909" s="189" t="str">
        <f ca="1">IFERROR(__xludf.DUMMYFUNCTION("""COMPUTED_VALUE"""),"F")</f>
        <v>F</v>
      </c>
      <c r="F1909" s="189" t="str">
        <f ca="1">IFERROR(__xludf.DUMMYFUNCTION("""COMPUTED_VALUE"""),"J")</f>
        <v>J</v>
      </c>
      <c r="G1909" s="189">
        <f ca="1">IFERROR(__xludf.DUMMYFUNCTION("""COMPUTED_VALUE"""),8)</f>
        <v>8</v>
      </c>
      <c r="H1909" s="196"/>
      <c r="I1909" s="196"/>
      <c r="J1909" s="196"/>
      <c r="K1909" s="196"/>
      <c r="L1909" s="196" t="str">
        <v/>
      </c>
      <c r="M1909" s="196"/>
    </row>
    <row r="1910" spans="1:13" ht="14.4" x14ac:dyDescent="0.3">
      <c r="A1910" s="189" t="str">
        <f ca="1">IFERROR(__xludf.DUMMYFUNCTION("""COMPUTED_VALUE"""),"SRA")</f>
        <v>SRA</v>
      </c>
      <c r="B1910" s="195" t="str">
        <f ca="1">IFERROR(__xludf.DUMMYFUNCTION("""COMPUTED_VALUE"""),"Lucy Barry")</f>
        <v>Lucy Barry</v>
      </c>
      <c r="C1910" s="189">
        <f ca="1">IFERROR(__xludf.DUMMYFUNCTION("""COMPUTED_VALUE"""),9)</f>
        <v>9</v>
      </c>
      <c r="D1910" s="189" t="str">
        <f ca="1">IFERROR(__xludf.DUMMYFUNCTION("""COMPUTED_VALUE"""),"G")</f>
        <v>G</v>
      </c>
      <c r="E1910" s="189" t="str">
        <f ca="1">IFERROR(__xludf.DUMMYFUNCTION("""COMPUTED_VALUE"""),"F")</f>
        <v>F</v>
      </c>
      <c r="F1910" s="189" t="str">
        <f ca="1">IFERROR(__xludf.DUMMYFUNCTION("""COMPUTED_VALUE"""),"J")</f>
        <v>J</v>
      </c>
      <c r="G1910" s="189">
        <f ca="1">IFERROR(__xludf.DUMMYFUNCTION("""COMPUTED_VALUE"""),8)</f>
        <v>8</v>
      </c>
      <c r="H1910" s="196"/>
      <c r="I1910" s="196"/>
      <c r="J1910" s="196"/>
      <c r="K1910" s="196"/>
      <c r="L1910" s="196" t="str">
        <v/>
      </c>
      <c r="M1910" s="196"/>
    </row>
    <row r="1911" spans="1:13" ht="14.4" x14ac:dyDescent="0.3">
      <c r="A1911" s="189" t="str">
        <f ca="1">IFERROR(__xludf.DUMMYFUNCTION("""COMPUTED_VALUE"""),"SRA")</f>
        <v>SRA</v>
      </c>
      <c r="B1911" s="195" t="str">
        <f ca="1">IFERROR(__xludf.DUMMYFUNCTION("""COMPUTED_VALUE"""),"Mackie Cotter")</f>
        <v>Mackie Cotter</v>
      </c>
      <c r="C1911" s="189">
        <f ca="1">IFERROR(__xludf.DUMMYFUNCTION("""COMPUTED_VALUE"""),7)</f>
        <v>7</v>
      </c>
      <c r="D1911" s="189" t="str">
        <f ca="1">IFERROR(__xludf.DUMMYFUNCTION("""COMPUTED_VALUE"""),"G")</f>
        <v>G</v>
      </c>
      <c r="E1911" s="189" t="str">
        <f ca="1">IFERROR(__xludf.DUMMYFUNCTION("""COMPUTED_VALUE"""),"F")</f>
        <v>F</v>
      </c>
      <c r="F1911" s="189" t="str">
        <f ca="1">IFERROR(__xludf.DUMMYFUNCTION("""COMPUTED_VALUE"""),"J")</f>
        <v>J</v>
      </c>
      <c r="G1911" s="189">
        <f ca="1">IFERROR(__xludf.DUMMYFUNCTION("""COMPUTED_VALUE"""),8)</f>
        <v>8</v>
      </c>
      <c r="H1911" s="196" t="s">
        <v>775</v>
      </c>
      <c r="I1911" s="196"/>
      <c r="J1911" s="196" t="s">
        <v>29</v>
      </c>
      <c r="K1911" s="196"/>
      <c r="L1911" s="196" t="str">
        <v xml:space="preserve"> 46.80</v>
      </c>
      <c r="M1911" s="196"/>
    </row>
    <row r="1912" spans="1:13" ht="14.4" x14ac:dyDescent="0.3">
      <c r="A1912" s="189" t="str">
        <f ca="1">IFERROR(__xludf.DUMMYFUNCTION("""COMPUTED_VALUE"""),"SRA")</f>
        <v>SRA</v>
      </c>
      <c r="B1912" s="195" t="str">
        <f ca="1">IFERROR(__xludf.DUMMYFUNCTION("""COMPUTED_VALUE"""),"Maya Fritz")</f>
        <v>Maya Fritz</v>
      </c>
      <c r="C1912" s="189">
        <f ca="1">IFERROR(__xludf.DUMMYFUNCTION("""COMPUTED_VALUE"""),10)</f>
        <v>10</v>
      </c>
      <c r="D1912" s="189" t="str">
        <f ca="1">IFERROR(__xludf.DUMMYFUNCTION("""COMPUTED_VALUE"""),"G")</f>
        <v>G</v>
      </c>
      <c r="E1912" s="189" t="str">
        <f ca="1">IFERROR(__xludf.DUMMYFUNCTION("""COMPUTED_VALUE"""),"F")</f>
        <v>F</v>
      </c>
      <c r="F1912" s="189" t="str">
        <f ca="1">IFERROR(__xludf.DUMMYFUNCTION("""COMPUTED_VALUE"""),"J")</f>
        <v>J</v>
      </c>
      <c r="G1912" s="189">
        <f ca="1">IFERROR(__xludf.DUMMYFUNCTION("""COMPUTED_VALUE"""),8)</f>
        <v>8</v>
      </c>
      <c r="H1912" s="196"/>
      <c r="I1912" s="196"/>
      <c r="J1912" s="196"/>
      <c r="K1912" s="196"/>
      <c r="L1912" s="196" t="str">
        <v/>
      </c>
      <c r="M1912" s="196"/>
    </row>
    <row r="1913" spans="1:13" ht="14.4" x14ac:dyDescent="0.3">
      <c r="A1913" s="189" t="str">
        <f ca="1">IFERROR(__xludf.DUMMYFUNCTION("""COMPUTED_VALUE"""),"SRA")</f>
        <v>SRA</v>
      </c>
      <c r="B1913" s="195" t="str">
        <f ca="1">IFERROR(__xludf.DUMMYFUNCTION("""COMPUTED_VALUE"""),"Penny Cotter")</f>
        <v>Penny Cotter</v>
      </c>
      <c r="C1913" s="189">
        <f ca="1">IFERROR(__xludf.DUMMYFUNCTION("""COMPUTED_VALUE"""),10)</f>
        <v>10</v>
      </c>
      <c r="D1913" s="189" t="str">
        <f ca="1">IFERROR(__xludf.DUMMYFUNCTION("""COMPUTED_VALUE"""),"G")</f>
        <v>G</v>
      </c>
      <c r="E1913" s="189" t="str">
        <f ca="1">IFERROR(__xludf.DUMMYFUNCTION("""COMPUTED_VALUE"""),"F")</f>
        <v>F</v>
      </c>
      <c r="F1913" s="189" t="str">
        <f ca="1">IFERROR(__xludf.DUMMYFUNCTION("""COMPUTED_VALUE"""),"J")</f>
        <v>J</v>
      </c>
      <c r="G1913" s="189">
        <f ca="1">IFERROR(__xludf.DUMMYFUNCTION("""COMPUTED_VALUE"""),8)</f>
        <v>8</v>
      </c>
      <c r="H1913" s="196" t="s">
        <v>776</v>
      </c>
      <c r="I1913" s="196"/>
      <c r="J1913" s="196" t="s">
        <v>29</v>
      </c>
      <c r="K1913" s="196"/>
      <c r="L1913" s="196" t="str">
        <v xml:space="preserve"> 62.35</v>
      </c>
      <c r="M1913" s="196"/>
    </row>
    <row r="1914" spans="1:13" ht="14.4" x14ac:dyDescent="0.3">
      <c r="A1914" s="189" t="str">
        <f ca="1">IFERROR(__xludf.DUMMYFUNCTION("""COMPUTED_VALUE"""),"SRA")</f>
        <v>SRA</v>
      </c>
      <c r="B1914" s="195" t="str">
        <f ca="1">IFERROR(__xludf.DUMMYFUNCTION("""COMPUTED_VALUE"""),"Rayleigh Baxa")</f>
        <v>Rayleigh Baxa</v>
      </c>
      <c r="C1914" s="189">
        <f ca="1">IFERROR(__xludf.DUMMYFUNCTION("""COMPUTED_VALUE"""),7)</f>
        <v>7</v>
      </c>
      <c r="D1914" s="189" t="str">
        <f ca="1">IFERROR(__xludf.DUMMYFUNCTION("""COMPUTED_VALUE"""),"G")</f>
        <v>G</v>
      </c>
      <c r="E1914" s="189" t="str">
        <f ca="1">IFERROR(__xludf.DUMMYFUNCTION("""COMPUTED_VALUE"""),"F")</f>
        <v>F</v>
      </c>
      <c r="F1914" s="189" t="str">
        <f ca="1">IFERROR(__xludf.DUMMYFUNCTION("""COMPUTED_VALUE"""),"J")</f>
        <v>J</v>
      </c>
      <c r="G1914" s="189">
        <f ca="1">IFERROR(__xludf.DUMMYFUNCTION("""COMPUTED_VALUE"""),8)</f>
        <v>8</v>
      </c>
      <c r="H1914" s="196"/>
      <c r="I1914" s="196"/>
      <c r="J1914" s="196"/>
      <c r="K1914" s="196"/>
      <c r="L1914" s="196" t="str">
        <v/>
      </c>
      <c r="M1914" s="196"/>
    </row>
    <row r="1915" spans="1:13" ht="14.4" x14ac:dyDescent="0.3">
      <c r="A1915" s="189" t="str">
        <f ca="1">IFERROR(__xludf.DUMMYFUNCTION("""COMPUTED_VALUE"""),"SRA")</f>
        <v>SRA</v>
      </c>
      <c r="B1915" s="195" t="str">
        <f ca="1">IFERROR(__xludf.DUMMYFUNCTION("""COMPUTED_VALUE"""),"Reagan Smith")</f>
        <v>Reagan Smith</v>
      </c>
      <c r="C1915" s="189">
        <f ca="1">IFERROR(__xludf.DUMMYFUNCTION("""COMPUTED_VALUE"""),9)</f>
        <v>9</v>
      </c>
      <c r="D1915" s="189" t="str">
        <f ca="1">IFERROR(__xludf.DUMMYFUNCTION("""COMPUTED_VALUE"""),"G")</f>
        <v>G</v>
      </c>
      <c r="E1915" s="189" t="str">
        <f ca="1">IFERROR(__xludf.DUMMYFUNCTION("""COMPUTED_VALUE"""),"F")</f>
        <v>F</v>
      </c>
      <c r="F1915" s="189" t="str">
        <f ca="1">IFERROR(__xludf.DUMMYFUNCTION("""COMPUTED_VALUE"""),"J")</f>
        <v>J</v>
      </c>
      <c r="G1915" s="189">
        <f ca="1">IFERROR(__xludf.DUMMYFUNCTION("""COMPUTED_VALUE"""),8)</f>
        <v>8</v>
      </c>
      <c r="H1915" s="196"/>
      <c r="I1915" s="196"/>
      <c r="J1915" s="196"/>
      <c r="K1915" s="196"/>
      <c r="L1915" s="196" t="str">
        <v/>
      </c>
      <c r="M1915" s="196"/>
    </row>
    <row r="1916" spans="1:13" ht="14.4" x14ac:dyDescent="0.3">
      <c r="A1916" s="189" t="str">
        <f ca="1">IFERROR(__xludf.DUMMYFUNCTION("""COMPUTED_VALUE"""),"SRA")</f>
        <v>SRA</v>
      </c>
      <c r="B1916" s="195" t="str">
        <f ca="1">IFERROR(__xludf.DUMMYFUNCTION("""COMPUTED_VALUE"""),"Remy Noland")</f>
        <v>Remy Noland</v>
      </c>
      <c r="C1916" s="189">
        <f ca="1">IFERROR(__xludf.DUMMYFUNCTION("""COMPUTED_VALUE"""),10)</f>
        <v>10</v>
      </c>
      <c r="D1916" s="189" t="str">
        <f ca="1">IFERROR(__xludf.DUMMYFUNCTION("""COMPUTED_VALUE"""),"G")</f>
        <v>G</v>
      </c>
      <c r="E1916" s="189" t="str">
        <f ca="1">IFERROR(__xludf.DUMMYFUNCTION("""COMPUTED_VALUE"""),"F")</f>
        <v>F</v>
      </c>
      <c r="F1916" s="189" t="str">
        <f ca="1">IFERROR(__xludf.DUMMYFUNCTION("""COMPUTED_VALUE"""),"J")</f>
        <v>J</v>
      </c>
      <c r="G1916" s="189">
        <f ca="1">IFERROR(__xludf.DUMMYFUNCTION("""COMPUTED_VALUE"""),8)</f>
        <v>8</v>
      </c>
      <c r="H1916" s="196"/>
      <c r="I1916" s="196"/>
      <c r="J1916" s="196"/>
      <c r="K1916" s="196"/>
      <c r="L1916" s="196" t="str">
        <v/>
      </c>
      <c r="M1916" s="196"/>
    </row>
    <row r="1917" spans="1:13" ht="14.4" x14ac:dyDescent="0.3">
      <c r="A1917" s="189" t="str">
        <f ca="1">IFERROR(__xludf.DUMMYFUNCTION("""COMPUTED_VALUE"""),"SRA")</f>
        <v>SRA</v>
      </c>
      <c r="B1917" s="195" t="str">
        <f ca="1">IFERROR(__xludf.DUMMYFUNCTION("""COMPUTED_VALUE"""),"Ruby Spannagel")</f>
        <v>Ruby Spannagel</v>
      </c>
      <c r="C1917" s="189">
        <f ca="1">IFERROR(__xludf.DUMMYFUNCTION("""COMPUTED_VALUE"""),7)</f>
        <v>7</v>
      </c>
      <c r="D1917" s="189" t="str">
        <f ca="1">IFERROR(__xludf.DUMMYFUNCTION("""COMPUTED_VALUE"""),"G")</f>
        <v>G</v>
      </c>
      <c r="E1917" s="189" t="str">
        <f ca="1">IFERROR(__xludf.DUMMYFUNCTION("""COMPUTED_VALUE"""),"F")</f>
        <v>F</v>
      </c>
      <c r="F1917" s="189" t="str">
        <f ca="1">IFERROR(__xludf.DUMMYFUNCTION("""COMPUTED_VALUE"""),"J")</f>
        <v>J</v>
      </c>
      <c r="G1917" s="189">
        <f ca="1">IFERROR(__xludf.DUMMYFUNCTION("""COMPUTED_VALUE"""),8)</f>
        <v>8</v>
      </c>
      <c r="H1917" s="196"/>
      <c r="I1917" s="196"/>
      <c r="J1917" s="196"/>
      <c r="K1917" s="196"/>
      <c r="L1917" s="196" t="str">
        <v/>
      </c>
      <c r="M1917" s="196"/>
    </row>
    <row r="1918" spans="1:13" ht="14.4" x14ac:dyDescent="0.3">
      <c r="A1918" s="189" t="str">
        <f ca="1">IFERROR(__xludf.DUMMYFUNCTION("""COMPUTED_VALUE"""),"SRA")</f>
        <v>SRA</v>
      </c>
      <c r="B1918" s="195" t="str">
        <f ca="1">IFERROR(__xludf.DUMMYFUNCTION("""COMPUTED_VALUE"""),"Savannah Goodale")</f>
        <v>Savannah Goodale</v>
      </c>
      <c r="C1918" s="189">
        <f ca="1">IFERROR(__xludf.DUMMYFUNCTION("""COMPUTED_VALUE"""),10)</f>
        <v>10</v>
      </c>
      <c r="D1918" s="189" t="str">
        <f ca="1">IFERROR(__xludf.DUMMYFUNCTION("""COMPUTED_VALUE"""),"G")</f>
        <v>G</v>
      </c>
      <c r="E1918" s="189" t="str">
        <f ca="1">IFERROR(__xludf.DUMMYFUNCTION("""COMPUTED_VALUE"""),"F")</f>
        <v>F</v>
      </c>
      <c r="F1918" s="189" t="str">
        <f ca="1">IFERROR(__xludf.DUMMYFUNCTION("""COMPUTED_VALUE"""),"J")</f>
        <v>J</v>
      </c>
      <c r="G1918" s="189">
        <f ca="1">IFERROR(__xludf.DUMMYFUNCTION("""COMPUTED_VALUE"""),8)</f>
        <v>8</v>
      </c>
      <c r="H1918" s="196"/>
      <c r="I1918" s="196"/>
      <c r="J1918" s="196"/>
      <c r="K1918" s="196"/>
      <c r="L1918" s="196" t="str">
        <v/>
      </c>
      <c r="M1918" s="196"/>
    </row>
    <row r="1919" spans="1:13" ht="14.4" x14ac:dyDescent="0.3">
      <c r="A1919" s="189" t="str">
        <f ca="1">IFERROR(__xludf.DUMMYFUNCTION("""COMPUTED_VALUE"""),"SRA")</f>
        <v>SRA</v>
      </c>
      <c r="B1919" s="195" t="str">
        <f ca="1">IFERROR(__xludf.DUMMYFUNCTION("""COMPUTED_VALUE"""),"Stella Beaman")</f>
        <v>Stella Beaman</v>
      </c>
      <c r="C1919" s="189">
        <f ca="1">IFERROR(__xludf.DUMMYFUNCTION("""COMPUTED_VALUE"""),9)</f>
        <v>9</v>
      </c>
      <c r="D1919" s="189" t="str">
        <f ca="1">IFERROR(__xludf.DUMMYFUNCTION("""COMPUTED_VALUE"""),"G")</f>
        <v>G</v>
      </c>
      <c r="E1919" s="189" t="str">
        <f ca="1">IFERROR(__xludf.DUMMYFUNCTION("""COMPUTED_VALUE"""),"F")</f>
        <v>F</v>
      </c>
      <c r="F1919" s="189" t="str">
        <f ca="1">IFERROR(__xludf.DUMMYFUNCTION("""COMPUTED_VALUE"""),"J")</f>
        <v>J</v>
      </c>
      <c r="G1919" s="189">
        <f ca="1">IFERROR(__xludf.DUMMYFUNCTION("""COMPUTED_VALUE"""),8)</f>
        <v>8</v>
      </c>
      <c r="H1919" s="196" t="s">
        <v>777</v>
      </c>
      <c r="I1919" s="196"/>
      <c r="J1919" s="196" t="s">
        <v>29</v>
      </c>
      <c r="K1919" s="196"/>
      <c r="L1919" s="196" t="str">
        <v xml:space="preserve"> 21.70</v>
      </c>
      <c r="M1919" s="196"/>
    </row>
    <row r="1920" spans="1:13" ht="14.4" x14ac:dyDescent="0.3">
      <c r="A1920" s="189" t="str">
        <f ca="1">IFERROR(__xludf.DUMMYFUNCTION("""COMPUTED_VALUE"""),"SRA")</f>
        <v>SRA</v>
      </c>
      <c r="B1920" s="195" t="str">
        <f ca="1">IFERROR(__xludf.DUMMYFUNCTION("""COMPUTED_VALUE"""),"Susan Miller")</f>
        <v>Susan Miller</v>
      </c>
      <c r="C1920" s="189">
        <f ca="1">IFERROR(__xludf.DUMMYFUNCTION("""COMPUTED_VALUE"""),8)</f>
        <v>8</v>
      </c>
      <c r="D1920" s="189" t="str">
        <f ca="1">IFERROR(__xludf.DUMMYFUNCTION("""COMPUTED_VALUE"""),"G")</f>
        <v>G</v>
      </c>
      <c r="E1920" s="189" t="str">
        <f ca="1">IFERROR(__xludf.DUMMYFUNCTION("""COMPUTED_VALUE"""),"F")</f>
        <v>F</v>
      </c>
      <c r="F1920" s="189" t="str">
        <f ca="1">IFERROR(__xludf.DUMMYFUNCTION("""COMPUTED_VALUE"""),"J")</f>
        <v>J</v>
      </c>
      <c r="G1920" s="189">
        <f ca="1">IFERROR(__xludf.DUMMYFUNCTION("""COMPUTED_VALUE"""),8)</f>
        <v>8</v>
      </c>
      <c r="H1920" s="196"/>
      <c r="I1920" s="196"/>
      <c r="J1920" s="196"/>
      <c r="K1920" s="196"/>
      <c r="L1920" s="196" t="str">
        <v/>
      </c>
      <c r="M1920" s="196"/>
    </row>
    <row r="1921" spans="1:13" ht="14.4" x14ac:dyDescent="0.3">
      <c r="A1921" s="189" t="str">
        <f ca="1">IFERROR(__xludf.DUMMYFUNCTION("""COMPUTED_VALUE"""),"SRA")</f>
        <v>SRA</v>
      </c>
      <c r="B1921" s="195" t="str">
        <f ca="1">IFERROR(__xludf.DUMMYFUNCTION("""COMPUTED_VALUE"""),"Everett Hessell")</f>
        <v>Everett Hessell</v>
      </c>
      <c r="C1921" s="189">
        <f ca="1">IFERROR(__xludf.DUMMYFUNCTION("""COMPUTED_VALUE"""),9)</f>
        <v>9</v>
      </c>
      <c r="D1921" s="189" t="str">
        <f ca="1">IFERROR(__xludf.DUMMYFUNCTION("""COMPUTED_VALUE"""),"B")</f>
        <v>B</v>
      </c>
      <c r="E1921" s="189" t="str">
        <f ca="1">IFERROR(__xludf.DUMMYFUNCTION("""COMPUTED_VALUE"""),"F")</f>
        <v>F</v>
      </c>
      <c r="F1921" s="189" t="str">
        <f ca="1">IFERROR(__xludf.DUMMYFUNCTION("""COMPUTED_VALUE"""),"J")</f>
        <v>J</v>
      </c>
      <c r="G1921" s="189">
        <f ca="1">IFERROR(__xludf.DUMMYFUNCTION("""COMPUTED_VALUE"""),8)</f>
        <v>8</v>
      </c>
      <c r="H1921" s="196"/>
      <c r="I1921" s="196"/>
      <c r="J1921" s="196"/>
      <c r="K1921" s="196"/>
      <c r="L1921" s="196" t="str">
        <v/>
      </c>
      <c r="M1921" s="196"/>
    </row>
    <row r="1922" spans="1:13" ht="14.4" x14ac:dyDescent="0.3">
      <c r="A1922" s="189" t="str">
        <f ca="1">IFERROR(__xludf.DUMMYFUNCTION("""COMPUTED_VALUE"""),"SRA")</f>
        <v>SRA</v>
      </c>
      <c r="B1922" s="195" t="str">
        <f ca="1">IFERROR(__xludf.DUMMYFUNCTION("""COMPUTED_VALUE"""),"Finn Jackson")</f>
        <v>Finn Jackson</v>
      </c>
      <c r="C1922" s="189">
        <f ca="1">IFERROR(__xludf.DUMMYFUNCTION("""COMPUTED_VALUE"""),9)</f>
        <v>9</v>
      </c>
      <c r="D1922" s="189" t="str">
        <f ca="1">IFERROR(__xludf.DUMMYFUNCTION("""COMPUTED_VALUE"""),"B")</f>
        <v>B</v>
      </c>
      <c r="E1922" s="189" t="str">
        <f ca="1">IFERROR(__xludf.DUMMYFUNCTION("""COMPUTED_VALUE"""),"F")</f>
        <v>F</v>
      </c>
      <c r="F1922" s="189" t="str">
        <f ca="1">IFERROR(__xludf.DUMMYFUNCTION("""COMPUTED_VALUE"""),"J")</f>
        <v>J</v>
      </c>
      <c r="G1922" s="189">
        <f ca="1">IFERROR(__xludf.DUMMYFUNCTION("""COMPUTED_VALUE"""),8)</f>
        <v>8</v>
      </c>
      <c r="H1922" s="196" t="s">
        <v>778</v>
      </c>
      <c r="I1922" s="196"/>
      <c r="J1922" s="196" t="s">
        <v>29</v>
      </c>
      <c r="K1922" s="196"/>
      <c r="L1922" s="196" t="str">
        <v xml:space="preserve"> 47.70</v>
      </c>
      <c r="M1922" s="196"/>
    </row>
    <row r="1923" spans="1:13" ht="14.4" x14ac:dyDescent="0.3">
      <c r="A1923" s="189" t="str">
        <f ca="1">IFERROR(__xludf.DUMMYFUNCTION("""COMPUTED_VALUE"""),"SRA")</f>
        <v>SRA</v>
      </c>
      <c r="B1923" s="195" t="str">
        <f ca="1">IFERROR(__xludf.DUMMYFUNCTION("""COMPUTED_VALUE"""),"Harrison Morgan")</f>
        <v>Harrison Morgan</v>
      </c>
      <c r="C1923" s="189">
        <f ca="1">IFERROR(__xludf.DUMMYFUNCTION("""COMPUTED_VALUE"""),6)</f>
        <v>6</v>
      </c>
      <c r="D1923" s="189" t="str">
        <f ca="1">IFERROR(__xludf.DUMMYFUNCTION("""COMPUTED_VALUE"""),"B")</f>
        <v>B</v>
      </c>
      <c r="E1923" s="189" t="str">
        <f ca="1">IFERROR(__xludf.DUMMYFUNCTION("""COMPUTED_VALUE"""),"F")</f>
        <v>F</v>
      </c>
      <c r="F1923" s="189" t="str">
        <f ca="1">IFERROR(__xludf.DUMMYFUNCTION("""COMPUTED_VALUE"""),"J")</f>
        <v>J</v>
      </c>
      <c r="G1923" s="189">
        <f ca="1">IFERROR(__xludf.DUMMYFUNCTION("""COMPUTED_VALUE"""),8)</f>
        <v>8</v>
      </c>
      <c r="H1923" s="196"/>
      <c r="I1923" s="196"/>
      <c r="J1923" s="196"/>
      <c r="K1923" s="196"/>
      <c r="L1923" s="196" t="str">
        <v/>
      </c>
      <c r="M1923" s="196"/>
    </row>
    <row r="1924" spans="1:13" ht="14.4" x14ac:dyDescent="0.3">
      <c r="A1924" s="189" t="str">
        <f ca="1">IFERROR(__xludf.DUMMYFUNCTION("""COMPUTED_VALUE"""),"SRA")</f>
        <v>SRA</v>
      </c>
      <c r="B1924" s="195" t="str">
        <f ca="1">IFERROR(__xludf.DUMMYFUNCTION("""COMPUTED_VALUE"""),"Hudson Moeller")</f>
        <v>Hudson Moeller</v>
      </c>
      <c r="C1924" s="189">
        <f ca="1">IFERROR(__xludf.DUMMYFUNCTION("""COMPUTED_VALUE"""),7)</f>
        <v>7</v>
      </c>
      <c r="D1924" s="189" t="str">
        <f ca="1">IFERROR(__xludf.DUMMYFUNCTION("""COMPUTED_VALUE"""),"B")</f>
        <v>B</v>
      </c>
      <c r="E1924" s="189" t="str">
        <f ca="1">IFERROR(__xludf.DUMMYFUNCTION("""COMPUTED_VALUE"""),"F")</f>
        <v>F</v>
      </c>
      <c r="F1924" s="189" t="str">
        <f ca="1">IFERROR(__xludf.DUMMYFUNCTION("""COMPUTED_VALUE"""),"J")</f>
        <v>J</v>
      </c>
      <c r="G1924" s="189">
        <f ca="1">IFERROR(__xludf.DUMMYFUNCTION("""COMPUTED_VALUE"""),8)</f>
        <v>8</v>
      </c>
      <c r="H1924" s="196"/>
      <c r="I1924" s="196"/>
      <c r="J1924" s="196"/>
      <c r="K1924" s="196"/>
      <c r="L1924" s="196" t="str">
        <v/>
      </c>
      <c r="M1924" s="196"/>
    </row>
    <row r="1925" spans="1:13" ht="14.4" x14ac:dyDescent="0.3">
      <c r="A1925" s="189" t="str">
        <f ca="1">IFERROR(__xludf.DUMMYFUNCTION("""COMPUTED_VALUE"""),"SRA")</f>
        <v>SRA</v>
      </c>
      <c r="B1925" s="195" t="str">
        <f ca="1">IFERROR(__xludf.DUMMYFUNCTION("""COMPUTED_VALUE"""),"Jacob Taddiken")</f>
        <v>Jacob Taddiken</v>
      </c>
      <c r="C1925" s="189">
        <f ca="1">IFERROR(__xludf.DUMMYFUNCTION("""COMPUTED_VALUE"""),8)</f>
        <v>8</v>
      </c>
      <c r="D1925" s="189" t="str">
        <f ca="1">IFERROR(__xludf.DUMMYFUNCTION("""COMPUTED_VALUE"""),"B")</f>
        <v>B</v>
      </c>
      <c r="E1925" s="189" t="str">
        <f ca="1">IFERROR(__xludf.DUMMYFUNCTION("""COMPUTED_VALUE"""),"F")</f>
        <v>F</v>
      </c>
      <c r="F1925" s="189" t="str">
        <f ca="1">IFERROR(__xludf.DUMMYFUNCTION("""COMPUTED_VALUE"""),"J")</f>
        <v>J</v>
      </c>
      <c r="G1925" s="189">
        <f ca="1">IFERROR(__xludf.DUMMYFUNCTION("""COMPUTED_VALUE"""),8)</f>
        <v>8</v>
      </c>
      <c r="H1925" s="196"/>
      <c r="I1925" s="196"/>
      <c r="J1925" s="196"/>
      <c r="K1925" s="196"/>
      <c r="L1925" s="196" t="str">
        <v/>
      </c>
      <c r="M1925" s="196"/>
    </row>
    <row r="1926" spans="1:13" ht="14.4" x14ac:dyDescent="0.3">
      <c r="A1926" s="189" t="str">
        <f ca="1">IFERROR(__xludf.DUMMYFUNCTION("""COMPUTED_VALUE"""),"SRA")</f>
        <v>SRA</v>
      </c>
      <c r="B1926" s="195" t="str">
        <f ca="1">IFERROR(__xludf.DUMMYFUNCTION("""COMPUTED_VALUE"""),"Marco Fazio")</f>
        <v>Marco Fazio</v>
      </c>
      <c r="C1926" s="189">
        <f ca="1">IFERROR(__xludf.DUMMYFUNCTION("""COMPUTED_VALUE"""),9)</f>
        <v>9</v>
      </c>
      <c r="D1926" s="189" t="str">
        <f ca="1">IFERROR(__xludf.DUMMYFUNCTION("""COMPUTED_VALUE"""),"B")</f>
        <v>B</v>
      </c>
      <c r="E1926" s="189" t="str">
        <f ca="1">IFERROR(__xludf.DUMMYFUNCTION("""COMPUTED_VALUE"""),"F")</f>
        <v>F</v>
      </c>
      <c r="F1926" s="189" t="str">
        <f ca="1">IFERROR(__xludf.DUMMYFUNCTION("""COMPUTED_VALUE"""),"J")</f>
        <v>J</v>
      </c>
      <c r="G1926" s="189">
        <f ca="1">IFERROR(__xludf.DUMMYFUNCTION("""COMPUTED_VALUE"""),8)</f>
        <v>8</v>
      </c>
      <c r="H1926" s="196"/>
      <c r="I1926" s="196"/>
      <c r="J1926" s="196"/>
      <c r="K1926" s="196"/>
      <c r="L1926" s="196" t="str">
        <v/>
      </c>
      <c r="M1926" s="196"/>
    </row>
    <row r="1927" spans="1:13" ht="14.4" x14ac:dyDescent="0.3">
      <c r="A1927" s="189" t="str">
        <f ca="1">IFERROR(__xludf.DUMMYFUNCTION("""COMPUTED_VALUE"""),"SRA")</f>
        <v>SRA</v>
      </c>
      <c r="B1927" s="195" t="str">
        <f ca="1">IFERROR(__xludf.DUMMYFUNCTION("""COMPUTED_VALUE"""),"Max Signer")</f>
        <v>Max Signer</v>
      </c>
      <c r="C1927" s="189">
        <f ca="1">IFERROR(__xludf.DUMMYFUNCTION("""COMPUTED_VALUE"""),6)</f>
        <v>6</v>
      </c>
      <c r="D1927" s="189" t="str">
        <f ca="1">IFERROR(__xludf.DUMMYFUNCTION("""COMPUTED_VALUE"""),"B")</f>
        <v>B</v>
      </c>
      <c r="E1927" s="189" t="str">
        <f ca="1">IFERROR(__xludf.DUMMYFUNCTION("""COMPUTED_VALUE"""),"F")</f>
        <v>F</v>
      </c>
      <c r="F1927" s="189" t="str">
        <f ca="1">IFERROR(__xludf.DUMMYFUNCTION("""COMPUTED_VALUE"""),"J")</f>
        <v>J</v>
      </c>
      <c r="G1927" s="189">
        <f ca="1">IFERROR(__xludf.DUMMYFUNCTION("""COMPUTED_VALUE"""),8)</f>
        <v>8</v>
      </c>
      <c r="H1927" s="196"/>
      <c r="I1927" s="196"/>
      <c r="J1927" s="196"/>
      <c r="K1927" s="196"/>
      <c r="L1927" s="196" t="str">
        <v/>
      </c>
      <c r="M1927" s="196"/>
    </row>
    <row r="1928" spans="1:13" ht="14.4" x14ac:dyDescent="0.3">
      <c r="A1928" s="189" t="str">
        <f ca="1">IFERROR(__xludf.DUMMYFUNCTION("""COMPUTED_VALUE"""),"SRA")</f>
        <v>SRA</v>
      </c>
      <c r="B1928" s="195" t="str">
        <f ca="1">IFERROR(__xludf.DUMMYFUNCTION("""COMPUTED_VALUE"""),"Sam Signer")</f>
        <v>Sam Signer</v>
      </c>
      <c r="C1928" s="189">
        <f ca="1">IFERROR(__xludf.DUMMYFUNCTION("""COMPUTED_VALUE"""),8)</f>
        <v>8</v>
      </c>
      <c r="D1928" s="189" t="str">
        <f ca="1">IFERROR(__xludf.DUMMYFUNCTION("""COMPUTED_VALUE"""),"B")</f>
        <v>B</v>
      </c>
      <c r="E1928" s="189" t="str">
        <f ca="1">IFERROR(__xludf.DUMMYFUNCTION("""COMPUTED_VALUE"""),"F")</f>
        <v>F</v>
      </c>
      <c r="F1928" s="189" t="str">
        <f ca="1">IFERROR(__xludf.DUMMYFUNCTION("""COMPUTED_VALUE"""),"J")</f>
        <v>J</v>
      </c>
      <c r="G1928" s="189">
        <f ca="1">IFERROR(__xludf.DUMMYFUNCTION("""COMPUTED_VALUE"""),8)</f>
        <v>8</v>
      </c>
      <c r="H1928" s="196"/>
      <c r="I1928" s="196"/>
      <c r="J1928" s="196"/>
      <c r="K1928" s="196"/>
      <c r="L1928" s="196" t="str">
        <v/>
      </c>
      <c r="M1928" s="196"/>
    </row>
    <row r="1929" spans="1:13" ht="14.4" x14ac:dyDescent="0.3">
      <c r="A1929" s="189" t="str">
        <f ca="1">IFERROR(__xludf.DUMMYFUNCTION("""COMPUTED_VALUE"""),"SRA")</f>
        <v>SRA</v>
      </c>
      <c r="B1929" s="195" t="str">
        <f ca="1">IFERROR(__xludf.DUMMYFUNCTION("""COMPUTED_VALUE"""),"Tristan Smith")</f>
        <v>Tristan Smith</v>
      </c>
      <c r="C1929" s="189">
        <f ca="1">IFERROR(__xludf.DUMMYFUNCTION("""COMPUTED_VALUE"""),10)</f>
        <v>10</v>
      </c>
      <c r="D1929" s="189" t="str">
        <f ca="1">IFERROR(__xludf.DUMMYFUNCTION("""COMPUTED_VALUE"""),"B")</f>
        <v>B</v>
      </c>
      <c r="E1929" s="189" t="str">
        <f ca="1">IFERROR(__xludf.DUMMYFUNCTION("""COMPUTED_VALUE"""),"F")</f>
        <v>F</v>
      </c>
      <c r="F1929" s="189" t="str">
        <f ca="1">IFERROR(__xludf.DUMMYFUNCTION("""COMPUTED_VALUE"""),"J")</f>
        <v>J</v>
      </c>
      <c r="G1929" s="189">
        <f ca="1">IFERROR(__xludf.DUMMYFUNCTION("""COMPUTED_VALUE"""),8)</f>
        <v>8</v>
      </c>
      <c r="H1929" s="196" t="s">
        <v>779</v>
      </c>
      <c r="I1929" s="196"/>
      <c r="J1929" s="196" t="s">
        <v>64</v>
      </c>
      <c r="K1929" s="196"/>
      <c r="L1929" s="196" t="str">
        <v xml:space="preserve"> -83.25</v>
      </c>
      <c r="M1929" s="196"/>
    </row>
    <row r="1930" spans="1:13" ht="14.4" x14ac:dyDescent="0.3">
      <c r="A1930" s="189" t="str">
        <f ca="1">IFERROR(__xludf.DUMMYFUNCTION("""COMPUTED_VALUE"""),"SRA")</f>
        <v>SRA</v>
      </c>
      <c r="B1930" s="195" t="str">
        <f ca="1">IFERROR(__xludf.DUMMYFUNCTION("""COMPUTED_VALUE"""),"Magdalena Burke")</f>
        <v>Magdalena Burke</v>
      </c>
      <c r="C1930" s="189">
        <f ca="1">IFERROR(__xludf.DUMMYFUNCTION("""COMPUTED_VALUE"""),14)</f>
        <v>14</v>
      </c>
      <c r="D1930" s="189" t="str">
        <f ca="1">IFERROR(__xludf.DUMMYFUNCTION("""COMPUTED_VALUE"""),"G")</f>
        <v>G</v>
      </c>
      <c r="E1930" s="189" t="str">
        <f ca="1">IFERROR(__xludf.DUMMYFUNCTION("""COMPUTED_VALUE"""),"I")</f>
        <v>I</v>
      </c>
      <c r="F1930" s="189" t="str">
        <f ca="1">IFERROR(__xludf.DUMMYFUNCTION("""COMPUTED_VALUE"""),"S")</f>
        <v>S</v>
      </c>
      <c r="G1930" s="189">
        <f ca="1">IFERROR(__xludf.DUMMYFUNCTION("""COMPUTED_VALUE"""),8)</f>
        <v>8</v>
      </c>
      <c r="H1930" s="196"/>
      <c r="I1930" s="196"/>
      <c r="J1930" s="196"/>
      <c r="K1930" s="196"/>
      <c r="L1930" s="196" t="str">
        <v/>
      </c>
      <c r="M1930" s="196"/>
    </row>
    <row r="1931" spans="1:13" ht="14.4" x14ac:dyDescent="0.3">
      <c r="A1931" s="189" t="str">
        <f ca="1">IFERROR(__xludf.DUMMYFUNCTION("""COMPUTED_VALUE"""),"SRA")</f>
        <v>SRA</v>
      </c>
      <c r="B1931" s="195" t="str">
        <f ca="1">IFERROR(__xludf.DUMMYFUNCTION("""COMPUTED_VALUE"""),"Reagan Goodale")</f>
        <v>Reagan Goodale</v>
      </c>
      <c r="C1931" s="189">
        <f ca="1">IFERROR(__xludf.DUMMYFUNCTION("""COMPUTED_VALUE"""),13)</f>
        <v>13</v>
      </c>
      <c r="D1931" s="189" t="str">
        <f ca="1">IFERROR(__xludf.DUMMYFUNCTION("""COMPUTED_VALUE"""),"G")</f>
        <v>G</v>
      </c>
      <c r="E1931" s="189" t="str">
        <f ca="1">IFERROR(__xludf.DUMMYFUNCTION("""COMPUTED_VALUE"""),"I")</f>
        <v>I</v>
      </c>
      <c r="F1931" s="189" t="str">
        <f ca="1">IFERROR(__xludf.DUMMYFUNCTION("""COMPUTED_VALUE"""),"S")</f>
        <v>S</v>
      </c>
      <c r="G1931" s="189">
        <f ca="1">IFERROR(__xludf.DUMMYFUNCTION("""COMPUTED_VALUE"""),8)</f>
        <v>8</v>
      </c>
      <c r="H1931" s="196"/>
      <c r="I1931" s="196"/>
      <c r="J1931" s="196"/>
      <c r="K1931" s="196"/>
      <c r="L1931" s="196" t="str">
        <v/>
      </c>
      <c r="M1931" s="196"/>
    </row>
    <row r="1932" spans="1:13" ht="14.4" x14ac:dyDescent="0.3">
      <c r="A1932" s="189" t="str">
        <f ca="1">IFERROR(__xludf.DUMMYFUNCTION("""COMPUTED_VALUE"""),"SRA")</f>
        <v>SRA</v>
      </c>
      <c r="B1932" s="195" t="str">
        <f ca="1">IFERROR(__xludf.DUMMYFUNCTION("""COMPUTED_VALUE"""),"JJ Froemke")</f>
        <v>JJ Froemke</v>
      </c>
      <c r="C1932" s="189">
        <f ca="1">IFERROR(__xludf.DUMMYFUNCTION("""COMPUTED_VALUE"""),13)</f>
        <v>13</v>
      </c>
      <c r="D1932" s="189" t="str">
        <f ca="1">IFERROR(__xludf.DUMMYFUNCTION("""COMPUTED_VALUE"""),"B")</f>
        <v>B</v>
      </c>
      <c r="E1932" s="189" t="str">
        <f ca="1">IFERROR(__xludf.DUMMYFUNCTION("""COMPUTED_VALUE"""),"I")</f>
        <v>I</v>
      </c>
      <c r="F1932" s="189" t="str">
        <f ca="1">IFERROR(__xludf.DUMMYFUNCTION("""COMPUTED_VALUE"""),"S")</f>
        <v>S</v>
      </c>
      <c r="G1932" s="189">
        <f ca="1">IFERROR(__xludf.DUMMYFUNCTION("""COMPUTED_VALUE"""),8)</f>
        <v>8</v>
      </c>
      <c r="H1932" s="196" t="s">
        <v>780</v>
      </c>
      <c r="I1932" s="196"/>
      <c r="J1932" s="196" t="s">
        <v>29</v>
      </c>
      <c r="K1932" s="196"/>
      <c r="L1932" s="196" t="str">
        <v xml:space="preserve"> 73.05</v>
      </c>
      <c r="M1932" s="196"/>
    </row>
    <row r="1933" spans="1:13" ht="14.4" x14ac:dyDescent="0.3">
      <c r="A1933" s="189" t="str">
        <f ca="1">IFERROR(__xludf.DUMMYFUNCTION("""COMPUTED_VALUE"""),"SRA")</f>
        <v>SRA</v>
      </c>
      <c r="B1933" s="195" t="str">
        <f ca="1">IFERROR(__xludf.DUMMYFUNCTION("""COMPUTED_VALUE"""),"Matteo Fazio")</f>
        <v>Matteo Fazio</v>
      </c>
      <c r="C1933" s="189">
        <f ca="1">IFERROR(__xludf.DUMMYFUNCTION("""COMPUTED_VALUE"""),13)</f>
        <v>13</v>
      </c>
      <c r="D1933" s="189" t="str">
        <f ca="1">IFERROR(__xludf.DUMMYFUNCTION("""COMPUTED_VALUE"""),"B")</f>
        <v>B</v>
      </c>
      <c r="E1933" s="189" t="str">
        <f ca="1">IFERROR(__xludf.DUMMYFUNCTION("""COMPUTED_VALUE"""),"I")</f>
        <v>I</v>
      </c>
      <c r="F1933" s="189" t="str">
        <f ca="1">IFERROR(__xludf.DUMMYFUNCTION("""COMPUTED_VALUE"""),"S")</f>
        <v>S</v>
      </c>
      <c r="G1933" s="189">
        <f ca="1">IFERROR(__xludf.DUMMYFUNCTION("""COMPUTED_VALUE"""),8)</f>
        <v>8</v>
      </c>
      <c r="H1933" s="196" t="s">
        <v>781</v>
      </c>
      <c r="I1933" s="196"/>
      <c r="J1933" s="196" t="s">
        <v>29</v>
      </c>
      <c r="K1933" s="196"/>
      <c r="L1933" s="196" t="str">
        <v xml:space="preserve"> 86.75</v>
      </c>
      <c r="M1933" s="196"/>
    </row>
    <row r="1934" spans="1:13" ht="14.4" x14ac:dyDescent="0.3">
      <c r="A1934" s="189" t="str">
        <f ca="1">IFERROR(__xludf.DUMMYFUNCTION("""COMPUTED_VALUE"""),"SRA")</f>
        <v>SRA</v>
      </c>
      <c r="B1934" s="195" t="str">
        <f ca="1">IFERROR(__xludf.DUMMYFUNCTION("""COMPUTED_VALUE"""),"Tommy Ventimiglia")</f>
        <v>Tommy Ventimiglia</v>
      </c>
      <c r="C1934" s="189">
        <f ca="1">IFERROR(__xludf.DUMMYFUNCTION("""COMPUTED_VALUE"""),13)</f>
        <v>13</v>
      </c>
      <c r="D1934" s="189" t="str">
        <f ca="1">IFERROR(__xludf.DUMMYFUNCTION("""COMPUTED_VALUE"""),"B")</f>
        <v>B</v>
      </c>
      <c r="E1934" s="189" t="str">
        <f ca="1">IFERROR(__xludf.DUMMYFUNCTION("""COMPUTED_VALUE"""),"I")</f>
        <v>I</v>
      </c>
      <c r="F1934" s="189" t="str">
        <f ca="1">IFERROR(__xludf.DUMMYFUNCTION("""COMPUTED_VALUE"""),"S")</f>
        <v>S</v>
      </c>
      <c r="G1934" s="189">
        <f ca="1">IFERROR(__xludf.DUMMYFUNCTION("""COMPUTED_VALUE"""),8)</f>
        <v>8</v>
      </c>
      <c r="H1934" s="196"/>
      <c r="I1934" s="196"/>
      <c r="J1934" s="196"/>
      <c r="K1934" s="196"/>
      <c r="L1934" s="196" t="str">
        <v/>
      </c>
      <c r="M1934" s="196"/>
    </row>
    <row r="1935" spans="1:13" ht="14.4" x14ac:dyDescent="0.3">
      <c r="A1935" s="189" t="str">
        <f ca="1">IFERROR(__xludf.DUMMYFUNCTION("""COMPUTED_VALUE"""),"SRA")</f>
        <v>SRA</v>
      </c>
      <c r="B1935" s="195" t="str">
        <f ca="1">IFERROR(__xludf.DUMMYFUNCTION("""COMPUTED_VALUE"""),"William Foote")</f>
        <v>William Foote</v>
      </c>
      <c r="C1935" s="189">
        <f ca="1">IFERROR(__xludf.DUMMYFUNCTION("""COMPUTED_VALUE"""),13)</f>
        <v>13</v>
      </c>
      <c r="D1935" s="189" t="str">
        <f ca="1">IFERROR(__xludf.DUMMYFUNCTION("""COMPUTED_VALUE"""),"B")</f>
        <v>B</v>
      </c>
      <c r="E1935" s="189" t="str">
        <f ca="1">IFERROR(__xludf.DUMMYFUNCTION("""COMPUTED_VALUE"""),"I")</f>
        <v>I</v>
      </c>
      <c r="F1935" s="189" t="str">
        <f ca="1">IFERROR(__xludf.DUMMYFUNCTION("""COMPUTED_VALUE"""),"S")</f>
        <v>S</v>
      </c>
      <c r="G1935" s="189">
        <f ca="1">IFERROR(__xludf.DUMMYFUNCTION("""COMPUTED_VALUE"""),8)</f>
        <v>8</v>
      </c>
      <c r="H1935" s="196"/>
      <c r="I1935" s="196"/>
      <c r="J1935" s="196"/>
      <c r="K1935" s="196"/>
      <c r="L1935" s="196" t="str">
        <v/>
      </c>
      <c r="M1935" s="196"/>
    </row>
    <row r="1936" spans="1:13" ht="14.4" x14ac:dyDescent="0.3">
      <c r="A1936" s="189" t="str">
        <f ca="1">IFERROR(__xludf.DUMMYFUNCTION("""COMPUTED_VALUE"""),"SRA")</f>
        <v>SRA</v>
      </c>
      <c r="B1936" s="195" t="str">
        <f ca="1">IFERROR(__xludf.DUMMYFUNCTION("""COMPUTED_VALUE"""),"Zachary Kearney")</f>
        <v>Zachary Kearney</v>
      </c>
      <c r="C1936" s="189">
        <f ca="1">IFERROR(__xludf.DUMMYFUNCTION("""COMPUTED_VALUE"""),13)</f>
        <v>13</v>
      </c>
      <c r="D1936" s="189" t="str">
        <f ca="1">IFERROR(__xludf.DUMMYFUNCTION("""COMPUTED_VALUE"""),"B")</f>
        <v>B</v>
      </c>
      <c r="E1936" s="189" t="str">
        <f ca="1">IFERROR(__xludf.DUMMYFUNCTION("""COMPUTED_VALUE"""),"I")</f>
        <v>I</v>
      </c>
      <c r="F1936" s="189" t="str">
        <f ca="1">IFERROR(__xludf.DUMMYFUNCTION("""COMPUTED_VALUE"""),"S")</f>
        <v>S</v>
      </c>
      <c r="G1936" s="189">
        <f ca="1">IFERROR(__xludf.DUMMYFUNCTION("""COMPUTED_VALUE"""),8)</f>
        <v>8</v>
      </c>
      <c r="H1936" s="196" t="s">
        <v>782</v>
      </c>
      <c r="I1936" s="196"/>
      <c r="J1936" s="196" t="s">
        <v>29</v>
      </c>
      <c r="K1936" s="196"/>
      <c r="L1936" s="196" t="str">
        <v xml:space="preserve"> 67.30</v>
      </c>
      <c r="M1936" s="196"/>
    </row>
    <row r="1937" spans="1:13" ht="14.4" x14ac:dyDescent="0.3">
      <c r="A1937" s="189" t="str">
        <f ca="1">IFERROR(__xludf.DUMMYFUNCTION("""COMPUTED_VALUE"""),"SRA")</f>
        <v>SRA</v>
      </c>
      <c r="B1937" s="195" t="str">
        <f ca="1">IFERROR(__xludf.DUMMYFUNCTION("""COMPUTED_VALUE"""),"Camille Upton")</f>
        <v>Camille Upton</v>
      </c>
      <c r="C1937" s="189">
        <f ca="1">IFERROR(__xludf.DUMMYFUNCTION("""COMPUTED_VALUE"""),11)</f>
        <v>11</v>
      </c>
      <c r="D1937" s="189" t="str">
        <f ca="1">IFERROR(__xludf.DUMMYFUNCTION("""COMPUTED_VALUE"""),"G")</f>
        <v>G</v>
      </c>
      <c r="E1937" s="189" t="str">
        <f ca="1">IFERROR(__xludf.DUMMYFUNCTION("""COMPUTED_VALUE"""),"J")</f>
        <v>J</v>
      </c>
      <c r="F1937" s="189" t="str">
        <f ca="1">IFERROR(__xludf.DUMMYFUNCTION("""COMPUTED_VALUE"""),"I")</f>
        <v>I</v>
      </c>
      <c r="G1937" s="189">
        <f ca="1">IFERROR(__xludf.DUMMYFUNCTION("""COMPUTED_VALUE"""),8)</f>
        <v>8</v>
      </c>
      <c r="H1937" s="196" t="s">
        <v>155</v>
      </c>
      <c r="I1937" s="196"/>
      <c r="J1937" s="196" t="s">
        <v>29</v>
      </c>
      <c r="K1937" s="196"/>
      <c r="L1937" s="196" t="str">
        <v xml:space="preserve"> 84.35</v>
      </c>
      <c r="M1937" s="196"/>
    </row>
    <row r="1938" spans="1:13" ht="14.4" x14ac:dyDescent="0.3">
      <c r="A1938" s="189" t="str">
        <f ca="1">IFERROR(__xludf.DUMMYFUNCTION("""COMPUTED_VALUE"""),"SRA")</f>
        <v>SRA</v>
      </c>
      <c r="B1938" s="195" t="str">
        <f ca="1">IFERROR(__xludf.DUMMYFUNCTION("""COMPUTED_VALUE"""),"Fiona Brolin")</f>
        <v>Fiona Brolin</v>
      </c>
      <c r="C1938" s="189">
        <f ca="1">IFERROR(__xludf.DUMMYFUNCTION("""COMPUTED_VALUE"""),11)</f>
        <v>11</v>
      </c>
      <c r="D1938" s="189" t="str">
        <f ca="1">IFERROR(__xludf.DUMMYFUNCTION("""COMPUTED_VALUE"""),"G")</f>
        <v>G</v>
      </c>
      <c r="E1938" s="189" t="str">
        <f ca="1">IFERROR(__xludf.DUMMYFUNCTION("""COMPUTED_VALUE"""),"J")</f>
        <v>J</v>
      </c>
      <c r="F1938" s="189" t="str">
        <f ca="1">IFERROR(__xludf.DUMMYFUNCTION("""COMPUTED_VALUE"""),"I")</f>
        <v>I</v>
      </c>
      <c r="G1938" s="189">
        <f ca="1">IFERROR(__xludf.DUMMYFUNCTION("""COMPUTED_VALUE"""),8)</f>
        <v>8</v>
      </c>
      <c r="H1938" s="196"/>
      <c r="I1938" s="196"/>
      <c r="J1938" s="196"/>
      <c r="K1938" s="196"/>
      <c r="L1938" s="196" t="str">
        <v/>
      </c>
      <c r="M1938" s="196"/>
    </row>
    <row r="1939" spans="1:13" ht="14.4" x14ac:dyDescent="0.3">
      <c r="A1939" s="189" t="str">
        <f ca="1">IFERROR(__xludf.DUMMYFUNCTION("""COMPUTED_VALUE"""),"SRA")</f>
        <v>SRA</v>
      </c>
      <c r="B1939" s="195" t="str">
        <f ca="1">IFERROR(__xludf.DUMMYFUNCTION("""COMPUTED_VALUE"""),"Kennedy Anderson")</f>
        <v>Kennedy Anderson</v>
      </c>
      <c r="C1939" s="189">
        <f ca="1">IFERROR(__xludf.DUMMYFUNCTION("""COMPUTED_VALUE"""),12)</f>
        <v>12</v>
      </c>
      <c r="D1939" s="189" t="str">
        <f ca="1">IFERROR(__xludf.DUMMYFUNCTION("""COMPUTED_VALUE"""),"G")</f>
        <v>G</v>
      </c>
      <c r="E1939" s="189" t="str">
        <f ca="1">IFERROR(__xludf.DUMMYFUNCTION("""COMPUTED_VALUE"""),"J")</f>
        <v>J</v>
      </c>
      <c r="F1939" s="189" t="str">
        <f ca="1">IFERROR(__xludf.DUMMYFUNCTION("""COMPUTED_VALUE"""),"I")</f>
        <v>I</v>
      </c>
      <c r="G1939" s="189">
        <f ca="1">IFERROR(__xludf.DUMMYFUNCTION("""COMPUTED_VALUE"""),8)</f>
        <v>8</v>
      </c>
      <c r="H1939" s="196" t="s">
        <v>783</v>
      </c>
      <c r="I1939" s="196"/>
      <c r="J1939" s="196" t="s">
        <v>29</v>
      </c>
      <c r="K1939" s="196"/>
      <c r="L1939" s="196" t="str">
        <v xml:space="preserve"> 92.80</v>
      </c>
      <c r="M1939" s="196"/>
    </row>
    <row r="1940" spans="1:13" ht="14.4" x14ac:dyDescent="0.3">
      <c r="A1940" s="189" t="str">
        <f ca="1">IFERROR(__xludf.DUMMYFUNCTION("""COMPUTED_VALUE"""),"SRA")</f>
        <v>SRA</v>
      </c>
      <c r="B1940" s="195" t="str">
        <f ca="1">IFERROR(__xludf.DUMMYFUNCTION("""COMPUTED_VALUE"""),"Luke Smith")</f>
        <v>Luke Smith</v>
      </c>
      <c r="C1940" s="189">
        <f ca="1">IFERROR(__xludf.DUMMYFUNCTION("""COMPUTED_VALUE"""),12)</f>
        <v>12</v>
      </c>
      <c r="D1940" s="189" t="str">
        <f ca="1">IFERROR(__xludf.DUMMYFUNCTION("""COMPUTED_VALUE"""),"B")</f>
        <v>B</v>
      </c>
      <c r="E1940" s="189" t="str">
        <f ca="1">IFERROR(__xludf.DUMMYFUNCTION("""COMPUTED_VALUE"""),"J")</f>
        <v>J</v>
      </c>
      <c r="F1940" s="189" t="str">
        <f ca="1">IFERROR(__xludf.DUMMYFUNCTION("""COMPUTED_VALUE"""),"I")</f>
        <v>I</v>
      </c>
      <c r="G1940" s="189">
        <f ca="1">IFERROR(__xludf.DUMMYFUNCTION("""COMPUTED_VALUE"""),8)</f>
        <v>8</v>
      </c>
      <c r="H1940" s="196"/>
      <c r="I1940" s="196"/>
      <c r="J1940" s="196"/>
      <c r="K1940" s="196"/>
      <c r="L1940" s="196" t="str">
        <v/>
      </c>
      <c r="M1940" s="196"/>
    </row>
    <row r="1941" spans="1:13" ht="14.4" x14ac:dyDescent="0.3">
      <c r="A1941" s="189" t="str">
        <f ca="1">IFERROR(__xludf.DUMMYFUNCTION("""COMPUTED_VALUE"""),"SRA")</f>
        <v>SRA</v>
      </c>
      <c r="B1941" s="195" t="str">
        <f ca="1">IFERROR(__xludf.DUMMYFUNCTION("""COMPUTED_VALUE"""),"Seth Ventura")</f>
        <v>Seth Ventura</v>
      </c>
      <c r="C1941" s="189">
        <f ca="1">IFERROR(__xludf.DUMMYFUNCTION("""COMPUTED_VALUE"""),12)</f>
        <v>12</v>
      </c>
      <c r="D1941" s="189" t="str">
        <f ca="1">IFERROR(__xludf.DUMMYFUNCTION("""COMPUTED_VALUE"""),"B")</f>
        <v>B</v>
      </c>
      <c r="E1941" s="189" t="str">
        <f ca="1">IFERROR(__xludf.DUMMYFUNCTION("""COMPUTED_VALUE"""),"J")</f>
        <v>J</v>
      </c>
      <c r="F1941" s="189" t="str">
        <f ca="1">IFERROR(__xludf.DUMMYFUNCTION("""COMPUTED_VALUE"""),"I")</f>
        <v>I</v>
      </c>
      <c r="G1941" s="189">
        <f ca="1">IFERROR(__xludf.DUMMYFUNCTION("""COMPUTED_VALUE"""),8)</f>
        <v>8</v>
      </c>
      <c r="H1941" s="196"/>
      <c r="I1941" s="196"/>
      <c r="J1941" s="196"/>
      <c r="K1941" s="196"/>
      <c r="L1941" s="196" t="str">
        <v/>
      </c>
      <c r="M1941" s="196"/>
    </row>
    <row r="1942" spans="1:13" ht="14.4" x14ac:dyDescent="0.3">
      <c r="A1942" s="189" t="str">
        <f ca="1">IFERROR(__xludf.DUMMYFUNCTION("""COMPUTED_VALUE"""),"SRA")</f>
        <v>SRA</v>
      </c>
      <c r="B1942" s="195" t="str">
        <f ca="1">IFERROR(__xludf.DUMMYFUNCTION("""COMPUTED_VALUE"""),"Deborah Burke")</f>
        <v>Deborah Burke</v>
      </c>
      <c r="C1942" s="189">
        <f ca="1">IFERROR(__xludf.DUMMYFUNCTION("""COMPUTED_VALUE"""),15)</f>
        <v>15</v>
      </c>
      <c r="D1942" s="189" t="str">
        <f ca="1">IFERROR(__xludf.DUMMYFUNCTION("""COMPUTED_VALUE"""),"G")</f>
        <v>G</v>
      </c>
      <c r="E1942" s="189" t="str">
        <f ca="1">IFERROR(__xludf.DUMMYFUNCTION("""COMPUTED_VALUE"""),"S")</f>
        <v>S</v>
      </c>
      <c r="F1942" s="189" t="str">
        <f ca="1">IFERROR(__xludf.DUMMYFUNCTION("""COMPUTED_VALUE"""),"S")</f>
        <v>S</v>
      </c>
      <c r="G1942" s="189">
        <f ca="1">IFERROR(__xludf.DUMMYFUNCTION("""COMPUTED_VALUE"""),8)</f>
        <v>8</v>
      </c>
      <c r="H1942" s="196"/>
      <c r="I1942" s="196"/>
      <c r="J1942" s="196"/>
      <c r="K1942" s="196"/>
      <c r="L1942" s="196" t="str">
        <v/>
      </c>
      <c r="M1942" s="196"/>
    </row>
    <row r="1943" spans="1:13" ht="14.4" x14ac:dyDescent="0.3">
      <c r="A1943" s="189" t="str">
        <f ca="1">IFERROR(__xludf.DUMMYFUNCTION("""COMPUTED_VALUE"""),"SRA")</f>
        <v>SRA</v>
      </c>
      <c r="B1943" s="195" t="str">
        <f ca="1">IFERROR(__xludf.DUMMYFUNCTION("""COMPUTED_VALUE"""),"Sophia Ary")</f>
        <v>Sophia Ary</v>
      </c>
      <c r="C1943" s="189">
        <f ca="1">IFERROR(__xludf.DUMMYFUNCTION("""COMPUTED_VALUE"""),15)</f>
        <v>15</v>
      </c>
      <c r="D1943" s="189" t="str">
        <f ca="1">IFERROR(__xludf.DUMMYFUNCTION("""COMPUTED_VALUE"""),"G")</f>
        <v>G</v>
      </c>
      <c r="E1943" s="189" t="str">
        <f ca="1">IFERROR(__xludf.DUMMYFUNCTION("""COMPUTED_VALUE"""),"S")</f>
        <v>S</v>
      </c>
      <c r="F1943" s="189" t="str">
        <f ca="1">IFERROR(__xludf.DUMMYFUNCTION("""COMPUTED_VALUE"""),"S")</f>
        <v>S</v>
      </c>
      <c r="G1943" s="189">
        <f ca="1">IFERROR(__xludf.DUMMYFUNCTION("""COMPUTED_VALUE"""),8)</f>
        <v>8</v>
      </c>
      <c r="H1943" s="196"/>
      <c r="I1943" s="196"/>
      <c r="J1943" s="196"/>
      <c r="K1943" s="196"/>
      <c r="L1943" s="196" t="str">
        <v/>
      </c>
      <c r="M1943" s="196"/>
    </row>
    <row r="1944" spans="1:13" ht="14.4" x14ac:dyDescent="0.3">
      <c r="A1944" s="189" t="str">
        <f ca="1">IFERROR(__xludf.DUMMYFUNCTION("""COMPUTED_VALUE"""),"SRA")</f>
        <v>SRA</v>
      </c>
      <c r="B1944" s="195" t="str">
        <f ca="1">IFERROR(__xludf.DUMMYFUNCTION("""COMPUTED_VALUE"""),"Ace Argentieri")</f>
        <v>Ace Argentieri</v>
      </c>
      <c r="C1944" s="189">
        <f ca="1">IFERROR(__xludf.DUMMYFUNCTION("""COMPUTED_VALUE"""),15)</f>
        <v>15</v>
      </c>
      <c r="D1944" s="189" t="str">
        <f ca="1">IFERROR(__xludf.DUMMYFUNCTION("""COMPUTED_VALUE"""),"B")</f>
        <v>B</v>
      </c>
      <c r="E1944" s="189" t="str">
        <f ca="1">IFERROR(__xludf.DUMMYFUNCTION("""COMPUTED_VALUE"""),"S")</f>
        <v>S</v>
      </c>
      <c r="F1944" s="189" t="str">
        <f ca="1">IFERROR(__xludf.DUMMYFUNCTION("""COMPUTED_VALUE"""),"S")</f>
        <v>S</v>
      </c>
      <c r="G1944" s="189">
        <f ca="1">IFERROR(__xludf.DUMMYFUNCTION("""COMPUTED_VALUE"""),8)</f>
        <v>8</v>
      </c>
      <c r="H1944" s="196" t="s">
        <v>421</v>
      </c>
      <c r="I1944" s="196"/>
      <c r="J1944" s="196" t="s">
        <v>29</v>
      </c>
      <c r="K1944" s="196"/>
      <c r="L1944" s="196" t="str">
        <v xml:space="preserve"> 96.55</v>
      </c>
      <c r="M1944" s="196"/>
    </row>
    <row r="1945" spans="1:13" ht="14.4" x14ac:dyDescent="0.3">
      <c r="A1945" s="189" t="str">
        <f ca="1">IFERROR(__xludf.DUMMYFUNCTION("""COMPUTED_VALUE"""),"SRA")</f>
        <v>SRA</v>
      </c>
      <c r="B1945" s="195" t="str">
        <f ca="1">IFERROR(__xludf.DUMMYFUNCTION("""COMPUTED_VALUE"""),"Ryan Calligaro")</f>
        <v>Ryan Calligaro</v>
      </c>
      <c r="C1945" s="189">
        <f ca="1">IFERROR(__xludf.DUMMYFUNCTION("""COMPUTED_VALUE"""),16)</f>
        <v>16</v>
      </c>
      <c r="D1945" s="189" t="str">
        <f ca="1">IFERROR(__xludf.DUMMYFUNCTION("""COMPUTED_VALUE"""),"B")</f>
        <v>B</v>
      </c>
      <c r="E1945" s="189" t="str">
        <f ca="1">IFERROR(__xludf.DUMMYFUNCTION("""COMPUTED_VALUE"""),"S")</f>
        <v>S</v>
      </c>
      <c r="F1945" s="189" t="str">
        <f ca="1">IFERROR(__xludf.DUMMYFUNCTION("""COMPUTED_VALUE"""),"S")</f>
        <v>S</v>
      </c>
      <c r="G1945" s="189">
        <f ca="1">IFERROR(__xludf.DUMMYFUNCTION("""COMPUTED_VALUE"""),8)</f>
        <v>8</v>
      </c>
      <c r="H1945" s="196"/>
      <c r="I1945" s="196"/>
      <c r="J1945" s="196"/>
      <c r="K1945" s="196"/>
      <c r="L1945" s="196" t="str">
        <v/>
      </c>
      <c r="M1945" s="196"/>
    </row>
    <row r="1946" spans="1:13" ht="14.4" x14ac:dyDescent="0.3">
      <c r="A1946" s="189" t="str">
        <f ca="1">IFERROR(__xludf.DUMMYFUNCTION("""COMPUTED_VALUE"""),"T")</f>
        <v>T</v>
      </c>
      <c r="B1946" s="195" t="str">
        <f ca="1">IFERROR(__xludf.DUMMYFUNCTION("""COMPUTED_VALUE"""),"Abi Bassler")</f>
        <v>Abi Bassler</v>
      </c>
      <c r="C1946" s="189">
        <f ca="1">IFERROR(__xludf.DUMMYFUNCTION("""COMPUTED_VALUE"""),6)</f>
        <v>6</v>
      </c>
      <c r="D1946" s="189" t="str">
        <f ca="1">IFERROR(__xludf.DUMMYFUNCTION("""COMPUTED_VALUE"""),"G")</f>
        <v>G</v>
      </c>
      <c r="E1946" s="189" t="str">
        <f ca="1">IFERROR(__xludf.DUMMYFUNCTION("""COMPUTED_VALUE"""),"F")</f>
        <v>F</v>
      </c>
      <c r="F1946" s="189" t="str">
        <f ca="1">IFERROR(__xludf.DUMMYFUNCTION("""COMPUTED_VALUE"""),"J")</f>
        <v>J</v>
      </c>
      <c r="G1946" s="189">
        <f ca="1">IFERROR(__xludf.DUMMYFUNCTION("""COMPUTED_VALUE"""),6)</f>
        <v>6</v>
      </c>
      <c r="H1946" s="196"/>
      <c r="I1946" s="196"/>
      <c r="J1946" s="196"/>
      <c r="K1946" s="196"/>
      <c r="L1946" s="196" t="str">
        <v/>
      </c>
      <c r="M1946" s="196"/>
    </row>
    <row r="1947" spans="1:13" ht="14.4" x14ac:dyDescent="0.3">
      <c r="A1947" s="189" t="str">
        <f ca="1">IFERROR(__xludf.DUMMYFUNCTION("""COMPUTED_VALUE"""),"T")</f>
        <v>T</v>
      </c>
      <c r="B1947" s="195" t="str">
        <f ca="1">IFERROR(__xludf.DUMMYFUNCTION("""COMPUTED_VALUE"""),"Alexandra Kennedy")</f>
        <v>Alexandra Kennedy</v>
      </c>
      <c r="C1947" s="189">
        <f ca="1">IFERROR(__xludf.DUMMYFUNCTION("""COMPUTED_VALUE"""),10)</f>
        <v>10</v>
      </c>
      <c r="D1947" s="189" t="str">
        <f ca="1">IFERROR(__xludf.DUMMYFUNCTION("""COMPUTED_VALUE"""),"G")</f>
        <v>G</v>
      </c>
      <c r="E1947" s="189" t="str">
        <f ca="1">IFERROR(__xludf.DUMMYFUNCTION("""COMPUTED_VALUE"""),"F")</f>
        <v>F</v>
      </c>
      <c r="F1947" s="189" t="str">
        <f ca="1">IFERROR(__xludf.DUMMYFUNCTION("""COMPUTED_VALUE"""),"J")</f>
        <v>J</v>
      </c>
      <c r="G1947" s="189">
        <f ca="1">IFERROR(__xludf.DUMMYFUNCTION("""COMPUTED_VALUE"""),6)</f>
        <v>6</v>
      </c>
      <c r="H1947" s="196" t="s">
        <v>407</v>
      </c>
      <c r="I1947" s="196"/>
      <c r="J1947" s="196" t="s">
        <v>29</v>
      </c>
      <c r="K1947" s="196"/>
      <c r="L1947" s="196" t="str">
        <v xml:space="preserve"> 32.00</v>
      </c>
      <c r="M1947" s="196"/>
    </row>
    <row r="1948" spans="1:13" ht="14.4" x14ac:dyDescent="0.3">
      <c r="A1948" s="189" t="str">
        <f ca="1">IFERROR(__xludf.DUMMYFUNCTION("""COMPUTED_VALUE"""),"T")</f>
        <v>T</v>
      </c>
      <c r="B1948" s="195" t="str">
        <f ca="1">IFERROR(__xludf.DUMMYFUNCTION("""COMPUTED_VALUE"""),"Avery Cash")</f>
        <v>Avery Cash</v>
      </c>
      <c r="C1948" s="189">
        <f ca="1">IFERROR(__xludf.DUMMYFUNCTION("""COMPUTED_VALUE"""),7)</f>
        <v>7</v>
      </c>
      <c r="D1948" s="189" t="str">
        <f ca="1">IFERROR(__xludf.DUMMYFUNCTION("""COMPUTED_VALUE"""),"G")</f>
        <v>G</v>
      </c>
      <c r="E1948" s="189" t="str">
        <f ca="1">IFERROR(__xludf.DUMMYFUNCTION("""COMPUTED_VALUE"""),"F")</f>
        <v>F</v>
      </c>
      <c r="F1948" s="189" t="str">
        <f ca="1">IFERROR(__xludf.DUMMYFUNCTION("""COMPUTED_VALUE"""),"J")</f>
        <v>J</v>
      </c>
      <c r="G1948" s="189">
        <f ca="1">IFERROR(__xludf.DUMMYFUNCTION("""COMPUTED_VALUE"""),6)</f>
        <v>6</v>
      </c>
      <c r="H1948" s="196"/>
      <c r="I1948" s="196"/>
      <c r="J1948" s="196"/>
      <c r="K1948" s="196"/>
      <c r="L1948" s="196" t="str">
        <v/>
      </c>
      <c r="M1948" s="196"/>
    </row>
    <row r="1949" spans="1:13" ht="14.4" x14ac:dyDescent="0.3">
      <c r="A1949" s="189" t="str">
        <f ca="1">IFERROR(__xludf.DUMMYFUNCTION("""COMPUTED_VALUE"""),"T")</f>
        <v>T</v>
      </c>
      <c r="B1949" s="195" t="str">
        <f ca="1">IFERROR(__xludf.DUMMYFUNCTION("""COMPUTED_VALUE"""),"Cierra Zimmermann")</f>
        <v>Cierra Zimmermann</v>
      </c>
      <c r="C1949" s="189">
        <f ca="1">IFERROR(__xludf.DUMMYFUNCTION("""COMPUTED_VALUE"""),9)</f>
        <v>9</v>
      </c>
      <c r="D1949" s="189" t="str">
        <f ca="1">IFERROR(__xludf.DUMMYFUNCTION("""COMPUTED_VALUE"""),"G")</f>
        <v>G</v>
      </c>
      <c r="E1949" s="189" t="str">
        <f ca="1">IFERROR(__xludf.DUMMYFUNCTION("""COMPUTED_VALUE"""),"F")</f>
        <v>F</v>
      </c>
      <c r="F1949" s="189" t="str">
        <f ca="1">IFERROR(__xludf.DUMMYFUNCTION("""COMPUTED_VALUE"""),"J")</f>
        <v>J</v>
      </c>
      <c r="G1949" s="189">
        <f ca="1">IFERROR(__xludf.DUMMYFUNCTION("""COMPUTED_VALUE"""),6)</f>
        <v>6</v>
      </c>
      <c r="H1949" s="196" t="s">
        <v>489</v>
      </c>
      <c r="I1949" s="196"/>
      <c r="J1949" s="196" t="s">
        <v>29</v>
      </c>
      <c r="K1949" s="196"/>
      <c r="L1949" s="196" t="str">
        <v xml:space="preserve"> 49.50</v>
      </c>
      <c r="M1949" s="196"/>
    </row>
    <row r="1950" spans="1:13" ht="14.4" x14ac:dyDescent="0.3">
      <c r="A1950" s="189" t="str">
        <f ca="1">IFERROR(__xludf.DUMMYFUNCTION("""COMPUTED_VALUE"""),"T")</f>
        <v>T</v>
      </c>
      <c r="B1950" s="195" t="str">
        <f ca="1">IFERROR(__xludf.DUMMYFUNCTION("""COMPUTED_VALUE"""),"Clara Cash")</f>
        <v>Clara Cash</v>
      </c>
      <c r="C1950" s="189">
        <f ca="1">IFERROR(__xludf.DUMMYFUNCTION("""COMPUTED_VALUE"""),9)</f>
        <v>9</v>
      </c>
      <c r="D1950" s="189" t="str">
        <f ca="1">IFERROR(__xludf.DUMMYFUNCTION("""COMPUTED_VALUE"""),"G")</f>
        <v>G</v>
      </c>
      <c r="E1950" s="189" t="str">
        <f ca="1">IFERROR(__xludf.DUMMYFUNCTION("""COMPUTED_VALUE"""),"F")</f>
        <v>F</v>
      </c>
      <c r="F1950" s="189" t="str">
        <f ca="1">IFERROR(__xludf.DUMMYFUNCTION("""COMPUTED_VALUE"""),"J")</f>
        <v>J</v>
      </c>
      <c r="G1950" s="189">
        <f ca="1">IFERROR(__xludf.DUMMYFUNCTION("""COMPUTED_VALUE"""),6)</f>
        <v>6</v>
      </c>
      <c r="H1950" s="196"/>
      <c r="I1950" s="196"/>
      <c r="J1950" s="196"/>
      <c r="K1950" s="196"/>
      <c r="L1950" s="196" t="str">
        <v/>
      </c>
      <c r="M1950" s="196"/>
    </row>
    <row r="1951" spans="1:13" ht="14.4" x14ac:dyDescent="0.3">
      <c r="A1951" s="189" t="str">
        <f ca="1">IFERROR(__xludf.DUMMYFUNCTION("""COMPUTED_VALUE"""),"T")</f>
        <v>T</v>
      </c>
      <c r="B1951" s="195" t="str">
        <f ca="1">IFERROR(__xludf.DUMMYFUNCTION("""COMPUTED_VALUE"""),"Elizabeth Shartzer")</f>
        <v>Elizabeth Shartzer</v>
      </c>
      <c r="C1951" s="189">
        <f ca="1">IFERROR(__xludf.DUMMYFUNCTION("""COMPUTED_VALUE"""),7)</f>
        <v>7</v>
      </c>
      <c r="D1951" s="189" t="str">
        <f ca="1">IFERROR(__xludf.DUMMYFUNCTION("""COMPUTED_VALUE"""),"G")</f>
        <v>G</v>
      </c>
      <c r="E1951" s="189" t="str">
        <f ca="1">IFERROR(__xludf.DUMMYFUNCTION("""COMPUTED_VALUE"""),"F")</f>
        <v>F</v>
      </c>
      <c r="F1951" s="189" t="str">
        <f ca="1">IFERROR(__xludf.DUMMYFUNCTION("""COMPUTED_VALUE"""),"J")</f>
        <v>J</v>
      </c>
      <c r="G1951" s="189">
        <f ca="1">IFERROR(__xludf.DUMMYFUNCTION("""COMPUTED_VALUE"""),6)</f>
        <v>6</v>
      </c>
      <c r="H1951" s="196"/>
      <c r="I1951" s="196"/>
      <c r="J1951" s="196"/>
      <c r="K1951" s="196"/>
      <c r="L1951" s="196" t="str">
        <v/>
      </c>
      <c r="M1951" s="196"/>
    </row>
    <row r="1952" spans="1:13" ht="14.4" x14ac:dyDescent="0.3">
      <c r="A1952" s="189" t="str">
        <f ca="1">IFERROR(__xludf.DUMMYFUNCTION("""COMPUTED_VALUE"""),"T")</f>
        <v>T</v>
      </c>
      <c r="B1952" s="195" t="str">
        <f ca="1">IFERROR(__xludf.DUMMYFUNCTION("""COMPUTED_VALUE"""),"Emery Carney")</f>
        <v>Emery Carney</v>
      </c>
      <c r="C1952" s="189">
        <f ca="1">IFERROR(__xludf.DUMMYFUNCTION("""COMPUTED_VALUE"""),9)</f>
        <v>9</v>
      </c>
      <c r="D1952" s="189" t="str">
        <f ca="1">IFERROR(__xludf.DUMMYFUNCTION("""COMPUTED_VALUE"""),"G")</f>
        <v>G</v>
      </c>
      <c r="E1952" s="189" t="str">
        <f ca="1">IFERROR(__xludf.DUMMYFUNCTION("""COMPUTED_VALUE"""),"F")</f>
        <v>F</v>
      </c>
      <c r="F1952" s="189" t="str">
        <f ca="1">IFERROR(__xludf.DUMMYFUNCTION("""COMPUTED_VALUE"""),"J")</f>
        <v>J</v>
      </c>
      <c r="G1952" s="189">
        <f ca="1">IFERROR(__xludf.DUMMYFUNCTION("""COMPUTED_VALUE"""),6)</f>
        <v>6</v>
      </c>
      <c r="H1952" s="196"/>
      <c r="I1952" s="196"/>
      <c r="J1952" s="196"/>
      <c r="K1952" s="196"/>
      <c r="L1952" s="196" t="str">
        <v/>
      </c>
      <c r="M1952" s="196"/>
    </row>
    <row r="1953" spans="1:13" ht="14.4" x14ac:dyDescent="0.3">
      <c r="A1953" s="189" t="str">
        <f ca="1">IFERROR(__xludf.DUMMYFUNCTION("""COMPUTED_VALUE"""),"T")</f>
        <v>T</v>
      </c>
      <c r="B1953" s="195" t="str">
        <f ca="1">IFERROR(__xludf.DUMMYFUNCTION("""COMPUTED_VALUE"""),"Emily Sander")</f>
        <v>Emily Sander</v>
      </c>
      <c r="C1953" s="189">
        <f ca="1">IFERROR(__xludf.DUMMYFUNCTION("""COMPUTED_VALUE"""),10)</f>
        <v>10</v>
      </c>
      <c r="D1953" s="189" t="str">
        <f ca="1">IFERROR(__xludf.DUMMYFUNCTION("""COMPUTED_VALUE"""),"G")</f>
        <v>G</v>
      </c>
      <c r="E1953" s="189" t="str">
        <f ca="1">IFERROR(__xludf.DUMMYFUNCTION("""COMPUTED_VALUE"""),"F")</f>
        <v>F</v>
      </c>
      <c r="F1953" s="189" t="str">
        <f ca="1">IFERROR(__xludf.DUMMYFUNCTION("""COMPUTED_VALUE"""),"J")</f>
        <v>J</v>
      </c>
      <c r="G1953" s="189">
        <f ca="1">IFERROR(__xludf.DUMMYFUNCTION("""COMPUTED_VALUE"""),6)</f>
        <v>6</v>
      </c>
      <c r="H1953" s="196"/>
      <c r="I1953" s="196"/>
      <c r="J1953" s="196"/>
      <c r="K1953" s="196"/>
      <c r="L1953" s="196" t="str">
        <v/>
      </c>
      <c r="M1953" s="196"/>
    </row>
    <row r="1954" spans="1:13" ht="14.4" x14ac:dyDescent="0.3">
      <c r="A1954" s="189" t="str">
        <f ca="1">IFERROR(__xludf.DUMMYFUNCTION("""COMPUTED_VALUE"""),"T")</f>
        <v>T</v>
      </c>
      <c r="B1954" s="195" t="str">
        <f ca="1">IFERROR(__xludf.DUMMYFUNCTION("""COMPUTED_VALUE"""),"Gray Cotter")</f>
        <v>Gray Cotter</v>
      </c>
      <c r="C1954" s="189">
        <f ca="1">IFERROR(__xludf.DUMMYFUNCTION("""COMPUTED_VALUE"""),7)</f>
        <v>7</v>
      </c>
      <c r="D1954" s="189" t="str">
        <f ca="1">IFERROR(__xludf.DUMMYFUNCTION("""COMPUTED_VALUE"""),"G")</f>
        <v>G</v>
      </c>
      <c r="E1954" s="189" t="str">
        <f ca="1">IFERROR(__xludf.DUMMYFUNCTION("""COMPUTED_VALUE"""),"F")</f>
        <v>F</v>
      </c>
      <c r="F1954" s="189" t="str">
        <f ca="1">IFERROR(__xludf.DUMMYFUNCTION("""COMPUTED_VALUE"""),"J")</f>
        <v>J</v>
      </c>
      <c r="G1954" s="189">
        <f ca="1">IFERROR(__xludf.DUMMYFUNCTION("""COMPUTED_VALUE"""),6)</f>
        <v>6</v>
      </c>
      <c r="H1954" s="196"/>
      <c r="I1954" s="196"/>
      <c r="J1954" s="196"/>
      <c r="K1954" s="196"/>
      <c r="L1954" s="196" t="str">
        <v/>
      </c>
      <c r="M1954" s="196"/>
    </row>
    <row r="1955" spans="1:13" ht="14.4" x14ac:dyDescent="0.3">
      <c r="A1955" s="189" t="str">
        <f ca="1">IFERROR(__xludf.DUMMYFUNCTION("""COMPUTED_VALUE"""),"T")</f>
        <v>T</v>
      </c>
      <c r="B1955" s="195" t="str">
        <f ca="1">IFERROR(__xludf.DUMMYFUNCTION("""COMPUTED_VALUE"""),"Harper Bassler")</f>
        <v>Harper Bassler</v>
      </c>
      <c r="C1955" s="189">
        <f ca="1">IFERROR(__xludf.DUMMYFUNCTION("""COMPUTED_VALUE"""),10)</f>
        <v>10</v>
      </c>
      <c r="D1955" s="189" t="str">
        <f ca="1">IFERROR(__xludf.DUMMYFUNCTION("""COMPUTED_VALUE"""),"G")</f>
        <v>G</v>
      </c>
      <c r="E1955" s="189" t="str">
        <f ca="1">IFERROR(__xludf.DUMMYFUNCTION("""COMPUTED_VALUE"""),"F")</f>
        <v>F</v>
      </c>
      <c r="F1955" s="189" t="str">
        <f ca="1">IFERROR(__xludf.DUMMYFUNCTION("""COMPUTED_VALUE"""),"J")</f>
        <v>J</v>
      </c>
      <c r="G1955" s="189">
        <f ca="1">IFERROR(__xludf.DUMMYFUNCTION("""COMPUTED_VALUE"""),6)</f>
        <v>6</v>
      </c>
      <c r="H1955" s="196"/>
      <c r="I1955" s="196"/>
      <c r="J1955" s="196"/>
      <c r="K1955" s="196"/>
      <c r="L1955" s="196" t="str">
        <v/>
      </c>
      <c r="M1955" s="196"/>
    </row>
    <row r="1956" spans="1:13" ht="14.4" x14ac:dyDescent="0.3">
      <c r="A1956" s="189" t="str">
        <f ca="1">IFERROR(__xludf.DUMMYFUNCTION("""COMPUTED_VALUE"""),"T")</f>
        <v>T</v>
      </c>
      <c r="B1956" s="195" t="str">
        <f ca="1">IFERROR(__xludf.DUMMYFUNCTION("""COMPUTED_VALUE"""),"Hayden Carry")</f>
        <v>Hayden Carry</v>
      </c>
      <c r="C1956" s="189">
        <f ca="1">IFERROR(__xludf.DUMMYFUNCTION("""COMPUTED_VALUE"""),6)</f>
        <v>6</v>
      </c>
      <c r="D1956" s="189" t="str">
        <f ca="1">IFERROR(__xludf.DUMMYFUNCTION("""COMPUTED_VALUE"""),"G")</f>
        <v>G</v>
      </c>
      <c r="E1956" s="189" t="str">
        <f ca="1">IFERROR(__xludf.DUMMYFUNCTION("""COMPUTED_VALUE"""),"F")</f>
        <v>F</v>
      </c>
      <c r="F1956" s="189" t="str">
        <f ca="1">IFERROR(__xludf.DUMMYFUNCTION("""COMPUTED_VALUE"""),"J")</f>
        <v>J</v>
      </c>
      <c r="G1956" s="189">
        <f ca="1">IFERROR(__xludf.DUMMYFUNCTION("""COMPUTED_VALUE"""),6)</f>
        <v>6</v>
      </c>
      <c r="H1956" s="196"/>
      <c r="I1956" s="196"/>
      <c r="J1956" s="196"/>
      <c r="K1956" s="196"/>
      <c r="L1956" s="196" t="str">
        <v/>
      </c>
      <c r="M1956" s="196"/>
    </row>
    <row r="1957" spans="1:13" ht="14.4" x14ac:dyDescent="0.3">
      <c r="A1957" s="189" t="str">
        <f ca="1">IFERROR(__xludf.DUMMYFUNCTION("""COMPUTED_VALUE"""),"T")</f>
        <v>T</v>
      </c>
      <c r="B1957" s="195" t="str">
        <f ca="1">IFERROR(__xludf.DUMMYFUNCTION("""COMPUTED_VALUE"""),"Jewell Mahoney")</f>
        <v>Jewell Mahoney</v>
      </c>
      <c r="C1957" s="189">
        <f ca="1">IFERROR(__xludf.DUMMYFUNCTION("""COMPUTED_VALUE"""),9)</f>
        <v>9</v>
      </c>
      <c r="D1957" s="189" t="str">
        <f ca="1">IFERROR(__xludf.DUMMYFUNCTION("""COMPUTED_VALUE"""),"G")</f>
        <v>G</v>
      </c>
      <c r="E1957" s="189" t="str">
        <f ca="1">IFERROR(__xludf.DUMMYFUNCTION("""COMPUTED_VALUE"""),"F")</f>
        <v>F</v>
      </c>
      <c r="F1957" s="189" t="str">
        <f ca="1">IFERROR(__xludf.DUMMYFUNCTION("""COMPUTED_VALUE"""),"J")</f>
        <v>J</v>
      </c>
      <c r="G1957" s="189">
        <f ca="1">IFERROR(__xludf.DUMMYFUNCTION("""COMPUTED_VALUE"""),6)</f>
        <v>6</v>
      </c>
      <c r="H1957" s="196"/>
      <c r="I1957" s="196"/>
      <c r="J1957" s="196"/>
      <c r="K1957" s="196"/>
      <c r="L1957" s="196" t="str">
        <v/>
      </c>
      <c r="M1957" s="196"/>
    </row>
    <row r="1958" spans="1:13" ht="14.4" x14ac:dyDescent="0.3">
      <c r="A1958" s="189" t="str">
        <f ca="1">IFERROR(__xludf.DUMMYFUNCTION("""COMPUTED_VALUE"""),"T")</f>
        <v>T</v>
      </c>
      <c r="B1958" s="195" t="str">
        <f ca="1">IFERROR(__xludf.DUMMYFUNCTION("""COMPUTED_VALUE"""),"Julia Zellers")</f>
        <v>Julia Zellers</v>
      </c>
      <c r="C1958" s="189">
        <f ca="1">IFERROR(__xludf.DUMMYFUNCTION("""COMPUTED_VALUE"""),10)</f>
        <v>10</v>
      </c>
      <c r="D1958" s="189" t="str">
        <f ca="1">IFERROR(__xludf.DUMMYFUNCTION("""COMPUTED_VALUE"""),"G")</f>
        <v>G</v>
      </c>
      <c r="E1958" s="189" t="str">
        <f ca="1">IFERROR(__xludf.DUMMYFUNCTION("""COMPUTED_VALUE"""),"F")</f>
        <v>F</v>
      </c>
      <c r="F1958" s="189" t="str">
        <f ca="1">IFERROR(__xludf.DUMMYFUNCTION("""COMPUTED_VALUE"""),"J")</f>
        <v>J</v>
      </c>
      <c r="G1958" s="189">
        <f ca="1">IFERROR(__xludf.DUMMYFUNCTION("""COMPUTED_VALUE"""),6)</f>
        <v>6</v>
      </c>
      <c r="H1958" s="196" t="s">
        <v>784</v>
      </c>
      <c r="I1958" s="196"/>
      <c r="J1958" s="196" t="s">
        <v>29</v>
      </c>
      <c r="K1958" s="196"/>
      <c r="L1958" s="196" t="str">
        <v xml:space="preserve"> 61.80</v>
      </c>
      <c r="M1958" s="196"/>
    </row>
    <row r="1959" spans="1:13" ht="14.4" x14ac:dyDescent="0.3">
      <c r="A1959" s="189" t="str">
        <f ca="1">IFERROR(__xludf.DUMMYFUNCTION("""COMPUTED_VALUE"""),"T")</f>
        <v>T</v>
      </c>
      <c r="B1959" s="195" t="str">
        <f ca="1">IFERROR(__xludf.DUMMYFUNCTION("""COMPUTED_VALUE"""),"Lucy Jonson")</f>
        <v>Lucy Jonson</v>
      </c>
      <c r="C1959" s="189">
        <f ca="1">IFERROR(__xludf.DUMMYFUNCTION("""COMPUTED_VALUE"""),8)</f>
        <v>8</v>
      </c>
      <c r="D1959" s="189" t="str">
        <f ca="1">IFERROR(__xludf.DUMMYFUNCTION("""COMPUTED_VALUE"""),"G")</f>
        <v>G</v>
      </c>
      <c r="E1959" s="189" t="str">
        <f ca="1">IFERROR(__xludf.DUMMYFUNCTION("""COMPUTED_VALUE"""),"F")</f>
        <v>F</v>
      </c>
      <c r="F1959" s="189" t="str">
        <f ca="1">IFERROR(__xludf.DUMMYFUNCTION("""COMPUTED_VALUE"""),"J")</f>
        <v>J</v>
      </c>
      <c r="G1959" s="189">
        <f ca="1">IFERROR(__xludf.DUMMYFUNCTION("""COMPUTED_VALUE"""),6)</f>
        <v>6</v>
      </c>
      <c r="H1959" s="196"/>
      <c r="I1959" s="196"/>
      <c r="J1959" s="196"/>
      <c r="K1959" s="196"/>
      <c r="L1959" s="196" t="str">
        <v/>
      </c>
      <c r="M1959" s="196"/>
    </row>
    <row r="1960" spans="1:13" ht="14.4" x14ac:dyDescent="0.3">
      <c r="A1960" s="189" t="str">
        <f ca="1">IFERROR(__xludf.DUMMYFUNCTION("""COMPUTED_VALUE"""),"T")</f>
        <v>T</v>
      </c>
      <c r="B1960" s="195" t="str">
        <f ca="1">IFERROR(__xludf.DUMMYFUNCTION("""COMPUTED_VALUE"""),"Maria Garcia-McIntire")</f>
        <v>Maria Garcia-McIntire</v>
      </c>
      <c r="C1960" s="189">
        <f ca="1">IFERROR(__xludf.DUMMYFUNCTION("""COMPUTED_VALUE"""),7)</f>
        <v>7</v>
      </c>
      <c r="D1960" s="189" t="str">
        <f ca="1">IFERROR(__xludf.DUMMYFUNCTION("""COMPUTED_VALUE"""),"G")</f>
        <v>G</v>
      </c>
      <c r="E1960" s="189" t="str">
        <f ca="1">IFERROR(__xludf.DUMMYFUNCTION("""COMPUTED_VALUE"""),"F")</f>
        <v>F</v>
      </c>
      <c r="F1960" s="189" t="str">
        <f ca="1">IFERROR(__xludf.DUMMYFUNCTION("""COMPUTED_VALUE"""),"J")</f>
        <v>J</v>
      </c>
      <c r="G1960" s="189">
        <f ca="1">IFERROR(__xludf.DUMMYFUNCTION("""COMPUTED_VALUE"""),6)</f>
        <v>6</v>
      </c>
      <c r="H1960" s="196" t="s">
        <v>715</v>
      </c>
      <c r="I1960" s="196"/>
      <c r="J1960" s="196" t="s">
        <v>29</v>
      </c>
      <c r="K1960" s="196"/>
      <c r="L1960" s="196" t="str">
        <v xml:space="preserve"> 40.95</v>
      </c>
      <c r="M1960" s="196"/>
    </row>
    <row r="1961" spans="1:13" ht="14.4" x14ac:dyDescent="0.3">
      <c r="A1961" s="189" t="str">
        <f ca="1">IFERROR(__xludf.DUMMYFUNCTION("""COMPUTED_VALUE"""),"T")</f>
        <v>T</v>
      </c>
      <c r="B1961" s="195" t="str">
        <f ca="1">IFERROR(__xludf.DUMMYFUNCTION("""COMPUTED_VALUE"""),"Mila Mazahery")</f>
        <v>Mila Mazahery</v>
      </c>
      <c r="C1961" s="189">
        <f ca="1">IFERROR(__xludf.DUMMYFUNCTION("""COMPUTED_VALUE"""),10)</f>
        <v>10</v>
      </c>
      <c r="D1961" s="189" t="str">
        <f ca="1">IFERROR(__xludf.DUMMYFUNCTION("""COMPUTED_VALUE"""),"G")</f>
        <v>G</v>
      </c>
      <c r="E1961" s="189" t="str">
        <f ca="1">IFERROR(__xludf.DUMMYFUNCTION("""COMPUTED_VALUE"""),"F")</f>
        <v>F</v>
      </c>
      <c r="F1961" s="189" t="str">
        <f ca="1">IFERROR(__xludf.DUMMYFUNCTION("""COMPUTED_VALUE"""),"J")</f>
        <v>J</v>
      </c>
      <c r="G1961" s="189">
        <f ca="1">IFERROR(__xludf.DUMMYFUNCTION("""COMPUTED_VALUE"""),6)</f>
        <v>6</v>
      </c>
      <c r="H1961" s="196"/>
      <c r="I1961" s="196"/>
      <c r="J1961" s="196"/>
      <c r="K1961" s="196"/>
      <c r="L1961" s="196" t="str">
        <v/>
      </c>
      <c r="M1961" s="196"/>
    </row>
    <row r="1962" spans="1:13" ht="14.4" x14ac:dyDescent="0.3">
      <c r="A1962" s="189" t="str">
        <f ca="1">IFERROR(__xludf.DUMMYFUNCTION("""COMPUTED_VALUE"""),"T")</f>
        <v>T</v>
      </c>
      <c r="B1962" s="195" t="str">
        <f ca="1">IFERROR(__xludf.DUMMYFUNCTION("""COMPUTED_VALUE"""),"Mira Parikh")</f>
        <v>Mira Parikh</v>
      </c>
      <c r="C1962" s="189">
        <f ca="1">IFERROR(__xludf.DUMMYFUNCTION("""COMPUTED_VALUE"""),5)</f>
        <v>5</v>
      </c>
      <c r="D1962" s="189" t="str">
        <f ca="1">IFERROR(__xludf.DUMMYFUNCTION("""COMPUTED_VALUE"""),"G")</f>
        <v>G</v>
      </c>
      <c r="E1962" s="189" t="str">
        <f ca="1">IFERROR(__xludf.DUMMYFUNCTION("""COMPUTED_VALUE"""),"F")</f>
        <v>F</v>
      </c>
      <c r="F1962" s="189" t="str">
        <f ca="1">IFERROR(__xludf.DUMMYFUNCTION("""COMPUTED_VALUE"""),"J")</f>
        <v>J</v>
      </c>
      <c r="G1962" s="189">
        <f ca="1">IFERROR(__xludf.DUMMYFUNCTION("""COMPUTED_VALUE"""),6)</f>
        <v>6</v>
      </c>
      <c r="H1962" s="196"/>
      <c r="I1962" s="196"/>
      <c r="J1962" s="196"/>
      <c r="K1962" s="196"/>
      <c r="L1962" s="196" t="str">
        <v/>
      </c>
      <c r="M1962" s="196"/>
    </row>
    <row r="1963" spans="1:13" ht="14.4" x14ac:dyDescent="0.3">
      <c r="A1963" s="189" t="str">
        <f ca="1">IFERROR(__xludf.DUMMYFUNCTION("""COMPUTED_VALUE"""),"T")</f>
        <v>T</v>
      </c>
      <c r="B1963" s="195" t="str">
        <f ca="1">IFERROR(__xludf.DUMMYFUNCTION("""COMPUTED_VALUE"""),"Sienna Carry")</f>
        <v>Sienna Carry</v>
      </c>
      <c r="C1963" s="189">
        <f ca="1">IFERROR(__xludf.DUMMYFUNCTION("""COMPUTED_VALUE"""),8)</f>
        <v>8</v>
      </c>
      <c r="D1963" s="189" t="str">
        <f ca="1">IFERROR(__xludf.DUMMYFUNCTION("""COMPUTED_VALUE"""),"G")</f>
        <v>G</v>
      </c>
      <c r="E1963" s="189" t="str">
        <f ca="1">IFERROR(__xludf.DUMMYFUNCTION("""COMPUTED_VALUE"""),"F")</f>
        <v>F</v>
      </c>
      <c r="F1963" s="189" t="str">
        <f ca="1">IFERROR(__xludf.DUMMYFUNCTION("""COMPUTED_VALUE"""),"J")</f>
        <v>J</v>
      </c>
      <c r="G1963" s="189">
        <f ca="1">IFERROR(__xludf.DUMMYFUNCTION("""COMPUTED_VALUE"""),6)</f>
        <v>6</v>
      </c>
      <c r="H1963" s="196" t="s">
        <v>785</v>
      </c>
      <c r="I1963" s="196"/>
      <c r="J1963" s="196" t="s">
        <v>29</v>
      </c>
      <c r="K1963" s="196"/>
      <c r="L1963" s="196" t="str">
        <v xml:space="preserve"> 56.10</v>
      </c>
      <c r="M1963" s="196"/>
    </row>
    <row r="1964" spans="1:13" ht="14.4" x14ac:dyDescent="0.3">
      <c r="A1964" s="189" t="str">
        <f ca="1">IFERROR(__xludf.DUMMYFUNCTION("""COMPUTED_VALUE"""),"T")</f>
        <v>T</v>
      </c>
      <c r="B1964" s="195" t="str">
        <f ca="1">IFERROR(__xludf.DUMMYFUNCTION("""COMPUTED_VALUE"""),"Sona Pandarinath")</f>
        <v>Sona Pandarinath</v>
      </c>
      <c r="C1964" s="189">
        <f ca="1">IFERROR(__xludf.DUMMYFUNCTION("""COMPUTED_VALUE"""),8)</f>
        <v>8</v>
      </c>
      <c r="D1964" s="189" t="str">
        <f ca="1">IFERROR(__xludf.DUMMYFUNCTION("""COMPUTED_VALUE"""),"G")</f>
        <v>G</v>
      </c>
      <c r="E1964" s="189" t="str">
        <f ca="1">IFERROR(__xludf.DUMMYFUNCTION("""COMPUTED_VALUE"""),"F")</f>
        <v>F</v>
      </c>
      <c r="F1964" s="189" t="str">
        <f ca="1">IFERROR(__xludf.DUMMYFUNCTION("""COMPUTED_VALUE"""),"J")</f>
        <v>J</v>
      </c>
      <c r="G1964" s="189">
        <f ca="1">IFERROR(__xludf.DUMMYFUNCTION("""COMPUTED_VALUE"""),6)</f>
        <v>6</v>
      </c>
      <c r="H1964" s="196"/>
      <c r="I1964" s="196"/>
      <c r="J1964" s="196"/>
      <c r="K1964" s="196"/>
      <c r="L1964" s="196" t="str">
        <v/>
      </c>
      <c r="M1964" s="196"/>
    </row>
    <row r="1965" spans="1:13" ht="14.4" x14ac:dyDescent="0.3">
      <c r="A1965" s="189" t="str">
        <f ca="1">IFERROR(__xludf.DUMMYFUNCTION("""COMPUTED_VALUE"""),"T")</f>
        <v>T</v>
      </c>
      <c r="B1965" s="195" t="str">
        <f ca="1">IFERROR(__xludf.DUMMYFUNCTION("""COMPUTED_VALUE"""),"Sonia Parikh")</f>
        <v>Sonia Parikh</v>
      </c>
      <c r="C1965" s="189">
        <f ca="1">IFERROR(__xludf.DUMMYFUNCTION("""COMPUTED_VALUE"""),9)</f>
        <v>9</v>
      </c>
      <c r="D1965" s="189" t="str">
        <f ca="1">IFERROR(__xludf.DUMMYFUNCTION("""COMPUTED_VALUE"""),"G")</f>
        <v>G</v>
      </c>
      <c r="E1965" s="189" t="str">
        <f ca="1">IFERROR(__xludf.DUMMYFUNCTION("""COMPUTED_VALUE"""),"F")</f>
        <v>F</v>
      </c>
      <c r="F1965" s="189" t="str">
        <f ca="1">IFERROR(__xludf.DUMMYFUNCTION("""COMPUTED_VALUE"""),"J")</f>
        <v>J</v>
      </c>
      <c r="G1965" s="189">
        <f ca="1">IFERROR(__xludf.DUMMYFUNCTION("""COMPUTED_VALUE"""),6)</f>
        <v>6</v>
      </c>
      <c r="H1965" s="196"/>
      <c r="I1965" s="196"/>
      <c r="J1965" s="196"/>
      <c r="K1965" s="196"/>
      <c r="L1965" s="196" t="str">
        <v/>
      </c>
      <c r="M1965" s="196"/>
    </row>
    <row r="1966" spans="1:13" ht="14.4" x14ac:dyDescent="0.3">
      <c r="A1966" s="189" t="str">
        <f ca="1">IFERROR(__xludf.DUMMYFUNCTION("""COMPUTED_VALUE"""),"T")</f>
        <v>T</v>
      </c>
      <c r="B1966" s="195" t="str">
        <f ca="1">IFERROR(__xludf.DUMMYFUNCTION("""COMPUTED_VALUE"""),"Aleko Misitzis")</f>
        <v>Aleko Misitzis</v>
      </c>
      <c r="C1966" s="189">
        <f ca="1">IFERROR(__xludf.DUMMYFUNCTION("""COMPUTED_VALUE"""),10)</f>
        <v>10</v>
      </c>
      <c r="D1966" s="189" t="str">
        <f ca="1">IFERROR(__xludf.DUMMYFUNCTION("""COMPUTED_VALUE"""),"B")</f>
        <v>B</v>
      </c>
      <c r="E1966" s="189" t="str">
        <f ca="1">IFERROR(__xludf.DUMMYFUNCTION("""COMPUTED_VALUE"""),"F")</f>
        <v>F</v>
      </c>
      <c r="F1966" s="189" t="str">
        <f ca="1">IFERROR(__xludf.DUMMYFUNCTION("""COMPUTED_VALUE"""),"J")</f>
        <v>J</v>
      </c>
      <c r="G1966" s="189">
        <f ca="1">IFERROR(__xludf.DUMMYFUNCTION("""COMPUTED_VALUE"""),6)</f>
        <v>6</v>
      </c>
      <c r="H1966" s="196"/>
      <c r="I1966" s="196"/>
      <c r="J1966" s="196"/>
      <c r="K1966" s="196"/>
      <c r="L1966" s="196" t="str">
        <v/>
      </c>
      <c r="M1966" s="196"/>
    </row>
    <row r="1967" spans="1:13" ht="14.4" x14ac:dyDescent="0.3">
      <c r="A1967" s="189" t="str">
        <f ca="1">IFERROR(__xludf.DUMMYFUNCTION("""COMPUTED_VALUE"""),"T")</f>
        <v>T</v>
      </c>
      <c r="B1967" s="195" t="str">
        <f ca="1">IFERROR(__xludf.DUMMYFUNCTION("""COMPUTED_VALUE"""),"Bear Jackson")</f>
        <v>Bear Jackson</v>
      </c>
      <c r="C1967" s="189">
        <f ca="1">IFERROR(__xludf.DUMMYFUNCTION("""COMPUTED_VALUE"""),6)</f>
        <v>6</v>
      </c>
      <c r="D1967" s="189" t="str">
        <f ca="1">IFERROR(__xludf.DUMMYFUNCTION("""COMPUTED_VALUE"""),"B")</f>
        <v>B</v>
      </c>
      <c r="E1967" s="189" t="str">
        <f ca="1">IFERROR(__xludf.DUMMYFUNCTION("""COMPUTED_VALUE"""),"F")</f>
        <v>F</v>
      </c>
      <c r="F1967" s="189" t="str">
        <f ca="1">IFERROR(__xludf.DUMMYFUNCTION("""COMPUTED_VALUE"""),"J")</f>
        <v>J</v>
      </c>
      <c r="G1967" s="189">
        <f ca="1">IFERROR(__xludf.DUMMYFUNCTION("""COMPUTED_VALUE"""),6)</f>
        <v>6</v>
      </c>
      <c r="H1967" s="196" t="s">
        <v>786</v>
      </c>
      <c r="I1967" s="196"/>
      <c r="J1967" s="196" t="s">
        <v>29</v>
      </c>
      <c r="K1967" s="196"/>
      <c r="L1967" s="196" t="str">
        <v xml:space="preserve"> 32.20</v>
      </c>
      <c r="M1967" s="196"/>
    </row>
    <row r="1968" spans="1:13" ht="14.4" x14ac:dyDescent="0.3">
      <c r="A1968" s="189" t="str">
        <f ca="1">IFERROR(__xludf.DUMMYFUNCTION("""COMPUTED_VALUE"""),"T")</f>
        <v>T</v>
      </c>
      <c r="B1968" s="195" t="str">
        <f ca="1">IFERROR(__xludf.DUMMYFUNCTION("""COMPUTED_VALUE"""),"Bennett Gilbert")</f>
        <v>Bennett Gilbert</v>
      </c>
      <c r="C1968" s="189">
        <f ca="1">IFERROR(__xludf.DUMMYFUNCTION("""COMPUTED_VALUE"""),9)</f>
        <v>9</v>
      </c>
      <c r="D1968" s="189" t="str">
        <f ca="1">IFERROR(__xludf.DUMMYFUNCTION("""COMPUTED_VALUE"""),"B")</f>
        <v>B</v>
      </c>
      <c r="E1968" s="189" t="str">
        <f ca="1">IFERROR(__xludf.DUMMYFUNCTION("""COMPUTED_VALUE"""),"F")</f>
        <v>F</v>
      </c>
      <c r="F1968" s="189" t="str">
        <f ca="1">IFERROR(__xludf.DUMMYFUNCTION("""COMPUTED_VALUE"""),"J")</f>
        <v>J</v>
      </c>
      <c r="G1968" s="189">
        <f ca="1">IFERROR(__xludf.DUMMYFUNCTION("""COMPUTED_VALUE"""),6)</f>
        <v>6</v>
      </c>
      <c r="H1968" s="196"/>
      <c r="I1968" s="196"/>
      <c r="J1968" s="196"/>
      <c r="K1968" s="196"/>
      <c r="L1968" s="196" t="str">
        <v/>
      </c>
      <c r="M1968" s="196"/>
    </row>
    <row r="1969" spans="1:13" ht="14.4" x14ac:dyDescent="0.3">
      <c r="A1969" s="189" t="str">
        <f ca="1">IFERROR(__xludf.DUMMYFUNCTION("""COMPUTED_VALUE"""),"T")</f>
        <v>T</v>
      </c>
      <c r="B1969" s="195" t="str">
        <f ca="1">IFERROR(__xludf.DUMMYFUNCTION("""COMPUTED_VALUE"""),"Chi Sandhu")</f>
        <v>Chi Sandhu</v>
      </c>
      <c r="C1969" s="189">
        <f ca="1">IFERROR(__xludf.DUMMYFUNCTION("""COMPUTED_VALUE"""),10)</f>
        <v>10</v>
      </c>
      <c r="D1969" s="189" t="str">
        <f ca="1">IFERROR(__xludf.DUMMYFUNCTION("""COMPUTED_VALUE"""),"B")</f>
        <v>B</v>
      </c>
      <c r="E1969" s="189" t="str">
        <f ca="1">IFERROR(__xludf.DUMMYFUNCTION("""COMPUTED_VALUE"""),"F")</f>
        <v>F</v>
      </c>
      <c r="F1969" s="189" t="str">
        <f ca="1">IFERROR(__xludf.DUMMYFUNCTION("""COMPUTED_VALUE"""),"J")</f>
        <v>J</v>
      </c>
      <c r="G1969" s="189">
        <f ca="1">IFERROR(__xludf.DUMMYFUNCTION("""COMPUTED_VALUE"""),6)</f>
        <v>6</v>
      </c>
      <c r="H1969" s="196"/>
      <c r="I1969" s="196"/>
      <c r="J1969" s="196"/>
      <c r="K1969" s="196"/>
      <c r="L1969" s="196" t="str">
        <v/>
      </c>
      <c r="M1969" s="196"/>
    </row>
    <row r="1970" spans="1:13" ht="14.4" x14ac:dyDescent="0.3">
      <c r="A1970" s="189" t="str">
        <f ca="1">IFERROR(__xludf.DUMMYFUNCTION("""COMPUTED_VALUE"""),"T")</f>
        <v>T</v>
      </c>
      <c r="B1970" s="195" t="str">
        <f ca="1">IFERROR(__xludf.DUMMYFUNCTION("""COMPUTED_VALUE"""),"Dara Mazahery")</f>
        <v>Dara Mazahery</v>
      </c>
      <c r="C1970" s="189">
        <f ca="1">IFERROR(__xludf.DUMMYFUNCTION("""COMPUTED_VALUE"""),6)</f>
        <v>6</v>
      </c>
      <c r="D1970" s="189" t="str">
        <f ca="1">IFERROR(__xludf.DUMMYFUNCTION("""COMPUTED_VALUE"""),"B")</f>
        <v>B</v>
      </c>
      <c r="E1970" s="189" t="str">
        <f ca="1">IFERROR(__xludf.DUMMYFUNCTION("""COMPUTED_VALUE"""),"F")</f>
        <v>F</v>
      </c>
      <c r="F1970" s="189" t="str">
        <f ca="1">IFERROR(__xludf.DUMMYFUNCTION("""COMPUTED_VALUE"""),"J")</f>
        <v>J</v>
      </c>
      <c r="G1970" s="189">
        <f ca="1">IFERROR(__xludf.DUMMYFUNCTION("""COMPUTED_VALUE"""),6)</f>
        <v>6</v>
      </c>
      <c r="H1970" s="196"/>
      <c r="I1970" s="196"/>
      <c r="J1970" s="196"/>
      <c r="K1970" s="196"/>
      <c r="L1970" s="196" t="str">
        <v/>
      </c>
      <c r="M1970" s="196"/>
    </row>
    <row r="1971" spans="1:13" ht="14.4" x14ac:dyDescent="0.3">
      <c r="A1971" s="189" t="str">
        <f ca="1">IFERROR(__xludf.DUMMYFUNCTION("""COMPUTED_VALUE"""),"T")</f>
        <v>T</v>
      </c>
      <c r="B1971" s="195" t="str">
        <f ca="1">IFERROR(__xludf.DUMMYFUNCTION("""COMPUTED_VALUE"""),"David Garcia-McIntire")</f>
        <v>David Garcia-McIntire</v>
      </c>
      <c r="C1971" s="189">
        <f ca="1">IFERROR(__xludf.DUMMYFUNCTION("""COMPUTED_VALUE"""),10)</f>
        <v>10</v>
      </c>
      <c r="D1971" s="189" t="str">
        <f ca="1">IFERROR(__xludf.DUMMYFUNCTION("""COMPUTED_VALUE"""),"B")</f>
        <v>B</v>
      </c>
      <c r="E1971" s="189" t="str">
        <f ca="1">IFERROR(__xludf.DUMMYFUNCTION("""COMPUTED_VALUE"""),"F")</f>
        <v>F</v>
      </c>
      <c r="F1971" s="189" t="str">
        <f ca="1">IFERROR(__xludf.DUMMYFUNCTION("""COMPUTED_VALUE"""),"J")</f>
        <v>J</v>
      </c>
      <c r="G1971" s="189">
        <f ca="1">IFERROR(__xludf.DUMMYFUNCTION("""COMPUTED_VALUE"""),6)</f>
        <v>6</v>
      </c>
      <c r="H1971" s="196" t="s">
        <v>275</v>
      </c>
      <c r="I1971" s="196"/>
      <c r="J1971" s="196" t="s">
        <v>64</v>
      </c>
      <c r="K1971" s="196"/>
      <c r="L1971" s="196" t="str">
        <v xml:space="preserve"> -81.50</v>
      </c>
      <c r="M1971" s="196"/>
    </row>
    <row r="1972" spans="1:13" ht="14.4" x14ac:dyDescent="0.3">
      <c r="A1972" s="189" t="str">
        <f ca="1">IFERROR(__xludf.DUMMYFUNCTION("""COMPUTED_VALUE"""),"T")</f>
        <v>T</v>
      </c>
      <c r="B1972" s="195" t="str">
        <f ca="1">IFERROR(__xludf.DUMMYFUNCTION("""COMPUTED_VALUE"""),"Davis Miller")</f>
        <v>Davis Miller</v>
      </c>
      <c r="C1972" s="189">
        <f ca="1">IFERROR(__xludf.DUMMYFUNCTION("""COMPUTED_VALUE"""),9)</f>
        <v>9</v>
      </c>
      <c r="D1972" s="189" t="str">
        <f ca="1">IFERROR(__xludf.DUMMYFUNCTION("""COMPUTED_VALUE"""),"B")</f>
        <v>B</v>
      </c>
      <c r="E1972" s="189" t="str">
        <f ca="1">IFERROR(__xludf.DUMMYFUNCTION("""COMPUTED_VALUE"""),"F")</f>
        <v>F</v>
      </c>
      <c r="F1972" s="189" t="str">
        <f ca="1">IFERROR(__xludf.DUMMYFUNCTION("""COMPUTED_VALUE"""),"J")</f>
        <v>J</v>
      </c>
      <c r="G1972" s="189">
        <f ca="1">IFERROR(__xludf.DUMMYFUNCTION("""COMPUTED_VALUE"""),6)</f>
        <v>6</v>
      </c>
      <c r="H1972" s="196"/>
      <c r="I1972" s="196"/>
      <c r="J1972" s="196"/>
      <c r="K1972" s="196"/>
      <c r="L1972" s="196" t="str">
        <v/>
      </c>
      <c r="M1972" s="196"/>
    </row>
    <row r="1973" spans="1:13" ht="14.4" x14ac:dyDescent="0.3">
      <c r="A1973" s="189" t="str">
        <f ca="1">IFERROR(__xludf.DUMMYFUNCTION("""COMPUTED_VALUE"""),"T")</f>
        <v>T</v>
      </c>
      <c r="B1973" s="195" t="str">
        <f ca="1">IFERROR(__xludf.DUMMYFUNCTION("""COMPUTED_VALUE"""),"Jarlath Mahoney")</f>
        <v>Jarlath Mahoney</v>
      </c>
      <c r="C1973" s="189">
        <f ca="1">IFERROR(__xludf.DUMMYFUNCTION("""COMPUTED_VALUE"""),9)</f>
        <v>9</v>
      </c>
      <c r="D1973" s="189" t="str">
        <f ca="1">IFERROR(__xludf.DUMMYFUNCTION("""COMPUTED_VALUE"""),"B")</f>
        <v>B</v>
      </c>
      <c r="E1973" s="189" t="str">
        <f ca="1">IFERROR(__xludf.DUMMYFUNCTION("""COMPUTED_VALUE"""),"F")</f>
        <v>F</v>
      </c>
      <c r="F1973" s="189" t="str">
        <f ca="1">IFERROR(__xludf.DUMMYFUNCTION("""COMPUTED_VALUE"""),"J")</f>
        <v>J</v>
      </c>
      <c r="G1973" s="189">
        <f ca="1">IFERROR(__xludf.DUMMYFUNCTION("""COMPUTED_VALUE"""),6)</f>
        <v>6</v>
      </c>
      <c r="H1973" s="196"/>
      <c r="I1973" s="196"/>
      <c r="J1973" s="196"/>
      <c r="K1973" s="196"/>
      <c r="L1973" s="196" t="str">
        <v/>
      </c>
      <c r="M1973" s="196"/>
    </row>
    <row r="1974" spans="1:13" ht="14.4" x14ac:dyDescent="0.3">
      <c r="A1974" s="189" t="str">
        <f ca="1">IFERROR(__xludf.DUMMYFUNCTION("""COMPUTED_VALUE"""),"T")</f>
        <v>T</v>
      </c>
      <c r="B1974" s="195" t="str">
        <f ca="1">IFERROR(__xludf.DUMMYFUNCTION("""COMPUTED_VALUE"""),"Joseph Wright")</f>
        <v>Joseph Wright</v>
      </c>
      <c r="C1974" s="189">
        <f ca="1">IFERROR(__xludf.DUMMYFUNCTION("""COMPUTED_VALUE"""),6)</f>
        <v>6</v>
      </c>
      <c r="D1974" s="189" t="str">
        <f ca="1">IFERROR(__xludf.DUMMYFUNCTION("""COMPUTED_VALUE"""),"B")</f>
        <v>B</v>
      </c>
      <c r="E1974" s="189" t="str">
        <f ca="1">IFERROR(__xludf.DUMMYFUNCTION("""COMPUTED_VALUE"""),"F")</f>
        <v>F</v>
      </c>
      <c r="F1974" s="189" t="str">
        <f ca="1">IFERROR(__xludf.DUMMYFUNCTION("""COMPUTED_VALUE"""),"J")</f>
        <v>J</v>
      </c>
      <c r="G1974" s="189">
        <f ca="1">IFERROR(__xludf.DUMMYFUNCTION("""COMPUTED_VALUE"""),6)</f>
        <v>6</v>
      </c>
      <c r="H1974" s="196"/>
      <c r="I1974" s="196"/>
      <c r="J1974" s="196"/>
      <c r="K1974" s="196"/>
      <c r="L1974" s="196" t="str">
        <v/>
      </c>
      <c r="M1974" s="196"/>
    </row>
    <row r="1975" spans="1:13" ht="14.4" x14ac:dyDescent="0.3">
      <c r="A1975" s="189" t="str">
        <f ca="1">IFERROR(__xludf.DUMMYFUNCTION("""COMPUTED_VALUE"""),"T")</f>
        <v>T</v>
      </c>
      <c r="B1975" s="195" t="str">
        <f ca="1">IFERROR(__xludf.DUMMYFUNCTION("""COMPUTED_VALUE"""),"Max Waisberg")</f>
        <v>Max Waisberg</v>
      </c>
      <c r="C1975" s="189">
        <f ca="1">IFERROR(__xludf.DUMMYFUNCTION("""COMPUTED_VALUE"""),10)</f>
        <v>10</v>
      </c>
      <c r="D1975" s="189" t="str">
        <f ca="1">IFERROR(__xludf.DUMMYFUNCTION("""COMPUTED_VALUE"""),"B")</f>
        <v>B</v>
      </c>
      <c r="E1975" s="189" t="str">
        <f ca="1">IFERROR(__xludf.DUMMYFUNCTION("""COMPUTED_VALUE"""),"F")</f>
        <v>F</v>
      </c>
      <c r="F1975" s="189" t="str">
        <f ca="1">IFERROR(__xludf.DUMMYFUNCTION("""COMPUTED_VALUE"""),"J")</f>
        <v>J</v>
      </c>
      <c r="G1975" s="189">
        <f ca="1">IFERROR(__xludf.DUMMYFUNCTION("""COMPUTED_VALUE"""),6)</f>
        <v>6</v>
      </c>
      <c r="H1975" s="196" t="s">
        <v>787</v>
      </c>
      <c r="I1975" s="196"/>
      <c r="J1975" s="196" t="s">
        <v>29</v>
      </c>
      <c r="K1975" s="196"/>
      <c r="L1975" s="196" t="str">
        <v xml:space="preserve"> 70.00</v>
      </c>
      <c r="M1975" s="196"/>
    </row>
    <row r="1976" spans="1:13" ht="14.4" x14ac:dyDescent="0.3">
      <c r="A1976" s="189" t="str">
        <f ca="1">IFERROR(__xludf.DUMMYFUNCTION("""COMPUTED_VALUE"""),"T")</f>
        <v>T</v>
      </c>
      <c r="B1976" s="195" t="str">
        <f ca="1">IFERROR(__xludf.DUMMYFUNCTION("""COMPUTED_VALUE"""),"Nico Rodriguez")</f>
        <v>Nico Rodriguez</v>
      </c>
      <c r="C1976" s="189">
        <f ca="1">IFERROR(__xludf.DUMMYFUNCTION("""COMPUTED_VALUE"""),6)</f>
        <v>6</v>
      </c>
      <c r="D1976" s="189" t="str">
        <f ca="1">IFERROR(__xludf.DUMMYFUNCTION("""COMPUTED_VALUE"""),"B")</f>
        <v>B</v>
      </c>
      <c r="E1976" s="189" t="str">
        <f ca="1">IFERROR(__xludf.DUMMYFUNCTION("""COMPUTED_VALUE"""),"F")</f>
        <v>F</v>
      </c>
      <c r="F1976" s="189" t="str">
        <f ca="1">IFERROR(__xludf.DUMMYFUNCTION("""COMPUTED_VALUE"""),"J")</f>
        <v>J</v>
      </c>
      <c r="G1976" s="189">
        <f ca="1">IFERROR(__xludf.DUMMYFUNCTION("""COMPUTED_VALUE"""),6)</f>
        <v>6</v>
      </c>
      <c r="H1976" s="196"/>
      <c r="I1976" s="196"/>
      <c r="J1976" s="196"/>
      <c r="K1976" s="196"/>
      <c r="L1976" s="196" t="str">
        <v/>
      </c>
      <c r="M1976" s="196"/>
    </row>
    <row r="1977" spans="1:13" ht="14.4" x14ac:dyDescent="0.3">
      <c r="A1977" s="189" t="str">
        <f ca="1">IFERROR(__xludf.DUMMYFUNCTION("""COMPUTED_VALUE"""),"T")</f>
        <v>T</v>
      </c>
      <c r="B1977" s="195" t="str">
        <f ca="1">IFERROR(__xludf.DUMMYFUNCTION("""COMPUTED_VALUE"""),"Oli Waisberg")</f>
        <v>Oli Waisberg</v>
      </c>
      <c r="C1977" s="189">
        <f ca="1">IFERROR(__xludf.DUMMYFUNCTION("""COMPUTED_VALUE"""),10)</f>
        <v>10</v>
      </c>
      <c r="D1977" s="189" t="str">
        <f ca="1">IFERROR(__xludf.DUMMYFUNCTION("""COMPUTED_VALUE"""),"B")</f>
        <v>B</v>
      </c>
      <c r="E1977" s="189" t="str">
        <f ca="1">IFERROR(__xludf.DUMMYFUNCTION("""COMPUTED_VALUE"""),"F")</f>
        <v>F</v>
      </c>
      <c r="F1977" s="189" t="str">
        <f ca="1">IFERROR(__xludf.DUMMYFUNCTION("""COMPUTED_VALUE"""),"J")</f>
        <v>J</v>
      </c>
      <c r="G1977" s="189">
        <f ca="1">IFERROR(__xludf.DUMMYFUNCTION("""COMPUTED_VALUE"""),6)</f>
        <v>6</v>
      </c>
      <c r="H1977" s="196" t="s">
        <v>788</v>
      </c>
      <c r="I1977" s="196"/>
      <c r="J1977" s="196" t="s">
        <v>29</v>
      </c>
      <c r="K1977" s="196"/>
      <c r="L1977" s="196" t="str">
        <v xml:space="preserve"> 60.65</v>
      </c>
      <c r="M1977" s="196"/>
    </row>
    <row r="1978" spans="1:13" ht="14.4" x14ac:dyDescent="0.3">
      <c r="A1978" s="189" t="str">
        <f ca="1">IFERROR(__xludf.DUMMYFUNCTION("""COMPUTED_VALUE"""),"T")</f>
        <v>T</v>
      </c>
      <c r="B1978" s="195" t="str">
        <f ca="1">IFERROR(__xludf.DUMMYFUNCTION("""COMPUTED_VALUE"""),"Patrick Coyne")</f>
        <v>Patrick Coyne</v>
      </c>
      <c r="C1978" s="189">
        <f ca="1">IFERROR(__xludf.DUMMYFUNCTION("""COMPUTED_VALUE"""),8)</f>
        <v>8</v>
      </c>
      <c r="D1978" s="189" t="str">
        <f ca="1">IFERROR(__xludf.DUMMYFUNCTION("""COMPUTED_VALUE"""),"B")</f>
        <v>B</v>
      </c>
      <c r="E1978" s="189" t="str">
        <f ca="1">IFERROR(__xludf.DUMMYFUNCTION("""COMPUTED_VALUE"""),"F")</f>
        <v>F</v>
      </c>
      <c r="F1978" s="189" t="str">
        <f ca="1">IFERROR(__xludf.DUMMYFUNCTION("""COMPUTED_VALUE"""),"J")</f>
        <v>J</v>
      </c>
      <c r="G1978" s="189">
        <f ca="1">IFERROR(__xludf.DUMMYFUNCTION("""COMPUTED_VALUE"""),6)</f>
        <v>6</v>
      </c>
      <c r="H1978" s="196"/>
      <c r="I1978" s="196"/>
      <c r="J1978" s="196"/>
      <c r="K1978" s="196"/>
      <c r="L1978" s="196" t="str">
        <v/>
      </c>
      <c r="M1978" s="196"/>
    </row>
    <row r="1979" spans="1:13" ht="14.4" x14ac:dyDescent="0.3">
      <c r="A1979" s="189" t="str">
        <f ca="1">IFERROR(__xludf.DUMMYFUNCTION("""COMPUTED_VALUE"""),"T")</f>
        <v>T</v>
      </c>
      <c r="B1979" s="195" t="str">
        <f ca="1">IFERROR(__xludf.DUMMYFUNCTION("""COMPUTED_VALUE"""),"Reid Heller")</f>
        <v>Reid Heller</v>
      </c>
      <c r="C1979" s="189">
        <f ca="1">IFERROR(__xludf.DUMMYFUNCTION("""COMPUTED_VALUE"""),10)</f>
        <v>10</v>
      </c>
      <c r="D1979" s="189" t="str">
        <f ca="1">IFERROR(__xludf.DUMMYFUNCTION("""COMPUTED_VALUE"""),"B")</f>
        <v>B</v>
      </c>
      <c r="E1979" s="189" t="str">
        <f ca="1">IFERROR(__xludf.DUMMYFUNCTION("""COMPUTED_VALUE"""),"F")</f>
        <v>F</v>
      </c>
      <c r="F1979" s="189" t="str">
        <f ca="1">IFERROR(__xludf.DUMMYFUNCTION("""COMPUTED_VALUE"""),"J")</f>
        <v>J</v>
      </c>
      <c r="G1979" s="189">
        <f ca="1">IFERROR(__xludf.DUMMYFUNCTION("""COMPUTED_VALUE"""),6)</f>
        <v>6</v>
      </c>
      <c r="H1979" s="196" t="s">
        <v>789</v>
      </c>
      <c r="I1979" s="196"/>
      <c r="J1979" s="196" t="s">
        <v>29</v>
      </c>
      <c r="K1979" s="196"/>
      <c r="L1979" s="196" t="str">
        <v xml:space="preserve"> 54.60</v>
      </c>
      <c r="M1979" s="196"/>
    </row>
    <row r="1980" spans="1:13" ht="14.4" x14ac:dyDescent="0.3">
      <c r="A1980" s="189" t="str">
        <f ca="1">IFERROR(__xludf.DUMMYFUNCTION("""COMPUTED_VALUE"""),"T")</f>
        <v>T</v>
      </c>
      <c r="B1980" s="195" t="str">
        <f ca="1">IFERROR(__xludf.DUMMYFUNCTION("""COMPUTED_VALUE"""),"Sawyer Lawrence")</f>
        <v>Sawyer Lawrence</v>
      </c>
      <c r="C1980" s="189">
        <f ca="1">IFERROR(__xludf.DUMMYFUNCTION("""COMPUTED_VALUE"""),9)</f>
        <v>9</v>
      </c>
      <c r="D1980" s="189" t="str">
        <f ca="1">IFERROR(__xludf.DUMMYFUNCTION("""COMPUTED_VALUE"""),"B")</f>
        <v>B</v>
      </c>
      <c r="E1980" s="189" t="str">
        <f ca="1">IFERROR(__xludf.DUMMYFUNCTION("""COMPUTED_VALUE"""),"F")</f>
        <v>F</v>
      </c>
      <c r="F1980" s="189" t="str">
        <f ca="1">IFERROR(__xludf.DUMMYFUNCTION("""COMPUTED_VALUE"""),"J")</f>
        <v>J</v>
      </c>
      <c r="G1980" s="189">
        <f ca="1">IFERROR(__xludf.DUMMYFUNCTION("""COMPUTED_VALUE"""),6)</f>
        <v>6</v>
      </c>
      <c r="H1980" s="196" t="s">
        <v>124</v>
      </c>
      <c r="I1980" s="196"/>
      <c r="J1980" s="196" t="s">
        <v>29</v>
      </c>
      <c r="K1980" s="196"/>
      <c r="L1980" s="196" t="str">
        <v xml:space="preserve"> 51.10</v>
      </c>
      <c r="M1980" s="196"/>
    </row>
    <row r="1981" spans="1:13" ht="14.4" x14ac:dyDescent="0.3">
      <c r="A1981" s="189" t="str">
        <f ca="1">IFERROR(__xludf.DUMMYFUNCTION("""COMPUTED_VALUE"""),"T")</f>
        <v>T</v>
      </c>
      <c r="B1981" s="195" t="str">
        <f ca="1">IFERROR(__xludf.DUMMYFUNCTION("""COMPUTED_VALUE"""),"Victor Rodriguez")</f>
        <v>Victor Rodriguez</v>
      </c>
      <c r="C1981" s="189">
        <f ca="1">IFERROR(__xludf.DUMMYFUNCTION("""COMPUTED_VALUE"""),10)</f>
        <v>10</v>
      </c>
      <c r="D1981" s="189" t="str">
        <f ca="1">IFERROR(__xludf.DUMMYFUNCTION("""COMPUTED_VALUE"""),"B")</f>
        <v>B</v>
      </c>
      <c r="E1981" s="189" t="str">
        <f ca="1">IFERROR(__xludf.DUMMYFUNCTION("""COMPUTED_VALUE"""),"F")</f>
        <v>F</v>
      </c>
      <c r="F1981" s="189" t="str">
        <f ca="1">IFERROR(__xludf.DUMMYFUNCTION("""COMPUTED_VALUE"""),"J")</f>
        <v>J</v>
      </c>
      <c r="G1981" s="189">
        <f ca="1">IFERROR(__xludf.DUMMYFUNCTION("""COMPUTED_VALUE"""),6)</f>
        <v>6</v>
      </c>
      <c r="H1981" s="196" t="s">
        <v>790</v>
      </c>
      <c r="I1981" s="196"/>
      <c r="J1981" s="196" t="s">
        <v>29</v>
      </c>
      <c r="K1981" s="196"/>
      <c r="L1981" s="196" t="str">
        <v xml:space="preserve"> 52.30</v>
      </c>
      <c r="M1981" s="196"/>
    </row>
    <row r="1982" spans="1:13" ht="14.4" x14ac:dyDescent="0.3">
      <c r="A1982" s="189" t="str">
        <f ca="1">IFERROR(__xludf.DUMMYFUNCTION("""COMPUTED_VALUE"""),"T")</f>
        <v>T</v>
      </c>
      <c r="B1982" s="195" t="str">
        <f ca="1">IFERROR(__xludf.DUMMYFUNCTION("""COMPUTED_VALUE"""),"Emily Zellers")</f>
        <v>Emily Zellers</v>
      </c>
      <c r="C1982" s="189">
        <f ca="1">IFERROR(__xludf.DUMMYFUNCTION("""COMPUTED_VALUE"""),13)</f>
        <v>13</v>
      </c>
      <c r="D1982" s="189" t="str">
        <f ca="1">IFERROR(__xludf.DUMMYFUNCTION("""COMPUTED_VALUE"""),"G")</f>
        <v>G</v>
      </c>
      <c r="E1982" s="189" t="str">
        <f ca="1">IFERROR(__xludf.DUMMYFUNCTION("""COMPUTED_VALUE"""),"I")</f>
        <v>I</v>
      </c>
      <c r="F1982" s="189" t="str">
        <f ca="1">IFERROR(__xludf.DUMMYFUNCTION("""COMPUTED_VALUE"""),"S")</f>
        <v>S</v>
      </c>
      <c r="G1982" s="189">
        <f ca="1">IFERROR(__xludf.DUMMYFUNCTION("""COMPUTED_VALUE"""),6)</f>
        <v>6</v>
      </c>
      <c r="H1982" s="196" t="s">
        <v>791</v>
      </c>
      <c r="I1982" s="196"/>
      <c r="J1982" s="196" t="s">
        <v>29</v>
      </c>
      <c r="K1982" s="196"/>
      <c r="L1982" s="196" t="str">
        <v xml:space="preserve"> 119.30</v>
      </c>
      <c r="M1982" s="196"/>
    </row>
    <row r="1983" spans="1:13" ht="14.4" x14ac:dyDescent="0.3">
      <c r="A1983" s="189" t="str">
        <f ca="1">IFERROR(__xludf.DUMMYFUNCTION("""COMPUTED_VALUE"""),"T")</f>
        <v>T</v>
      </c>
      <c r="B1983" s="195" t="str">
        <f ca="1">IFERROR(__xludf.DUMMYFUNCTION("""COMPUTED_VALUE"""),"Kris Walters")</f>
        <v>Kris Walters</v>
      </c>
      <c r="C1983" s="189">
        <f ca="1">IFERROR(__xludf.DUMMYFUNCTION("""COMPUTED_VALUE"""),14)</f>
        <v>14</v>
      </c>
      <c r="D1983" s="189" t="str">
        <f ca="1">IFERROR(__xludf.DUMMYFUNCTION("""COMPUTED_VALUE"""),"G")</f>
        <v>G</v>
      </c>
      <c r="E1983" s="189" t="str">
        <f ca="1">IFERROR(__xludf.DUMMYFUNCTION("""COMPUTED_VALUE"""),"I")</f>
        <v>I</v>
      </c>
      <c r="F1983" s="189" t="str">
        <f ca="1">IFERROR(__xludf.DUMMYFUNCTION("""COMPUTED_VALUE"""),"S")</f>
        <v>S</v>
      </c>
      <c r="G1983" s="189">
        <f ca="1">IFERROR(__xludf.DUMMYFUNCTION("""COMPUTED_VALUE"""),6)</f>
        <v>6</v>
      </c>
      <c r="H1983" s="196"/>
      <c r="I1983" s="196"/>
      <c r="J1983" s="196"/>
      <c r="K1983" s="196"/>
      <c r="L1983" s="196" t="str">
        <v/>
      </c>
      <c r="M1983" s="196"/>
    </row>
    <row r="1984" spans="1:13" ht="14.4" x14ac:dyDescent="0.3">
      <c r="A1984" s="189" t="str">
        <f ca="1">IFERROR(__xludf.DUMMYFUNCTION("""COMPUTED_VALUE"""),"T")</f>
        <v>T</v>
      </c>
      <c r="B1984" s="195" t="str">
        <f ca="1">IFERROR(__xludf.DUMMYFUNCTION("""COMPUTED_VALUE"""),"Nikitha Rajesh")</f>
        <v>Nikitha Rajesh</v>
      </c>
      <c r="C1984" s="189">
        <f ca="1">IFERROR(__xludf.DUMMYFUNCTION("""COMPUTED_VALUE"""),13)</f>
        <v>13</v>
      </c>
      <c r="D1984" s="189" t="str">
        <f ca="1">IFERROR(__xludf.DUMMYFUNCTION("""COMPUTED_VALUE"""),"G")</f>
        <v>G</v>
      </c>
      <c r="E1984" s="189" t="str">
        <f ca="1">IFERROR(__xludf.DUMMYFUNCTION("""COMPUTED_VALUE"""),"I")</f>
        <v>I</v>
      </c>
      <c r="F1984" s="189" t="str">
        <f ca="1">IFERROR(__xludf.DUMMYFUNCTION("""COMPUTED_VALUE"""),"S")</f>
        <v>S</v>
      </c>
      <c r="G1984" s="189">
        <f ca="1">IFERROR(__xludf.DUMMYFUNCTION("""COMPUTED_VALUE"""),6)</f>
        <v>6</v>
      </c>
      <c r="H1984" s="196" t="s">
        <v>792</v>
      </c>
      <c r="I1984" s="196"/>
      <c r="J1984" s="196" t="s">
        <v>64</v>
      </c>
      <c r="K1984" s="196"/>
      <c r="L1984" s="196" t="str">
        <v xml:space="preserve"> -141.20</v>
      </c>
      <c r="M1984" s="196"/>
    </row>
    <row r="1985" spans="1:13" ht="14.4" x14ac:dyDescent="0.3">
      <c r="A1985" s="189" t="str">
        <f ca="1">IFERROR(__xludf.DUMMYFUNCTION("""COMPUTED_VALUE"""),"T")</f>
        <v>T</v>
      </c>
      <c r="B1985" s="195" t="str">
        <f ca="1">IFERROR(__xludf.DUMMYFUNCTION("""COMPUTED_VALUE"""),"Vicki Waisberg")</f>
        <v>Vicki Waisberg</v>
      </c>
      <c r="C1985" s="189">
        <f ca="1">IFERROR(__xludf.DUMMYFUNCTION("""COMPUTED_VALUE"""),13)</f>
        <v>13</v>
      </c>
      <c r="D1985" s="189" t="str">
        <f ca="1">IFERROR(__xludf.DUMMYFUNCTION("""COMPUTED_VALUE"""),"G")</f>
        <v>G</v>
      </c>
      <c r="E1985" s="189" t="str">
        <f ca="1">IFERROR(__xludf.DUMMYFUNCTION("""COMPUTED_VALUE"""),"I")</f>
        <v>I</v>
      </c>
      <c r="F1985" s="189" t="str">
        <f ca="1">IFERROR(__xludf.DUMMYFUNCTION("""COMPUTED_VALUE"""),"S")</f>
        <v>S</v>
      </c>
      <c r="G1985" s="189">
        <f ca="1">IFERROR(__xludf.DUMMYFUNCTION("""COMPUTED_VALUE"""),6)</f>
        <v>6</v>
      </c>
      <c r="H1985" s="196" t="s">
        <v>793</v>
      </c>
      <c r="I1985" s="196"/>
      <c r="J1985" s="196" t="s">
        <v>29</v>
      </c>
      <c r="K1985" s="196"/>
      <c r="L1985" s="196" t="str">
        <v xml:space="preserve"> 128.95</v>
      </c>
      <c r="M1985" s="196"/>
    </row>
    <row r="1986" spans="1:13" ht="14.4" x14ac:dyDescent="0.3">
      <c r="A1986" s="189" t="str">
        <f ca="1">IFERROR(__xludf.DUMMYFUNCTION("""COMPUTED_VALUE"""),"T")</f>
        <v>T</v>
      </c>
      <c r="B1986" s="195" t="str">
        <f ca="1">IFERROR(__xludf.DUMMYFUNCTION("""COMPUTED_VALUE"""),"Emmett Coyne")</f>
        <v>Emmett Coyne</v>
      </c>
      <c r="C1986" s="189">
        <f ca="1">IFERROR(__xludf.DUMMYFUNCTION("""COMPUTED_VALUE"""),13)</f>
        <v>13</v>
      </c>
      <c r="D1986" s="189" t="str">
        <f ca="1">IFERROR(__xludf.DUMMYFUNCTION("""COMPUTED_VALUE"""),"B")</f>
        <v>B</v>
      </c>
      <c r="E1986" s="189" t="str">
        <f ca="1">IFERROR(__xludf.DUMMYFUNCTION("""COMPUTED_VALUE"""),"I")</f>
        <v>I</v>
      </c>
      <c r="F1986" s="189" t="str">
        <f ca="1">IFERROR(__xludf.DUMMYFUNCTION("""COMPUTED_VALUE"""),"S")</f>
        <v>S</v>
      </c>
      <c r="G1986" s="189">
        <f ca="1">IFERROR(__xludf.DUMMYFUNCTION("""COMPUTED_VALUE"""),6)</f>
        <v>6</v>
      </c>
      <c r="H1986" s="196"/>
      <c r="I1986" s="196"/>
      <c r="J1986" s="196"/>
      <c r="K1986" s="196"/>
      <c r="L1986" s="196" t="str">
        <v/>
      </c>
      <c r="M1986" s="196"/>
    </row>
    <row r="1987" spans="1:13" ht="14.4" x14ac:dyDescent="0.3">
      <c r="A1987" s="189" t="str">
        <f ca="1">IFERROR(__xludf.DUMMYFUNCTION("""COMPUTED_VALUE"""),"T")</f>
        <v>T</v>
      </c>
      <c r="B1987" s="195" t="str">
        <f ca="1">IFERROR(__xludf.DUMMYFUNCTION("""COMPUTED_VALUE"""),"Isaac Fonner")</f>
        <v>Isaac Fonner</v>
      </c>
      <c r="C1987" s="189">
        <f ca="1">IFERROR(__xludf.DUMMYFUNCTION("""COMPUTED_VALUE"""),13)</f>
        <v>13</v>
      </c>
      <c r="D1987" s="189" t="str">
        <f ca="1">IFERROR(__xludf.DUMMYFUNCTION("""COMPUTED_VALUE"""),"B")</f>
        <v>B</v>
      </c>
      <c r="E1987" s="189" t="str">
        <f ca="1">IFERROR(__xludf.DUMMYFUNCTION("""COMPUTED_VALUE"""),"I")</f>
        <v>I</v>
      </c>
      <c r="F1987" s="189" t="str">
        <f ca="1">IFERROR(__xludf.DUMMYFUNCTION("""COMPUTED_VALUE"""),"S")</f>
        <v>S</v>
      </c>
      <c r="G1987" s="189">
        <f ca="1">IFERROR(__xludf.DUMMYFUNCTION("""COMPUTED_VALUE"""),6)</f>
        <v>6</v>
      </c>
      <c r="H1987" s="196" t="s">
        <v>794</v>
      </c>
      <c r="I1987" s="196"/>
      <c r="J1987" s="196" t="s">
        <v>29</v>
      </c>
      <c r="K1987" s="196"/>
      <c r="L1987" s="196" t="str">
        <v xml:space="preserve"> 117.25</v>
      </c>
      <c r="M1987" s="196"/>
    </row>
    <row r="1988" spans="1:13" ht="14.4" x14ac:dyDescent="0.3">
      <c r="A1988" s="189" t="str">
        <f ca="1">IFERROR(__xludf.DUMMYFUNCTION("""COMPUTED_VALUE"""),"T")</f>
        <v>T</v>
      </c>
      <c r="B1988" s="195" t="str">
        <f ca="1">IFERROR(__xludf.DUMMYFUNCTION("""COMPUTED_VALUE"""),"Ally Han")</f>
        <v>Ally Han</v>
      </c>
      <c r="C1988" s="189">
        <f ca="1">IFERROR(__xludf.DUMMYFUNCTION("""COMPUTED_VALUE"""),11)</f>
        <v>11</v>
      </c>
      <c r="D1988" s="189" t="str">
        <f ca="1">IFERROR(__xludf.DUMMYFUNCTION("""COMPUTED_VALUE"""),"G")</f>
        <v>G</v>
      </c>
      <c r="E1988" s="189" t="str">
        <f ca="1">IFERROR(__xludf.DUMMYFUNCTION("""COMPUTED_VALUE"""),"J")</f>
        <v>J</v>
      </c>
      <c r="F1988" s="189" t="str">
        <f ca="1">IFERROR(__xludf.DUMMYFUNCTION("""COMPUTED_VALUE"""),"I")</f>
        <v>I</v>
      </c>
      <c r="G1988" s="189">
        <f ca="1">IFERROR(__xludf.DUMMYFUNCTION("""COMPUTED_VALUE"""),6)</f>
        <v>6</v>
      </c>
      <c r="H1988" s="196" t="s">
        <v>795</v>
      </c>
      <c r="I1988" s="196"/>
      <c r="J1988" s="196" t="s">
        <v>29</v>
      </c>
      <c r="K1988" s="196"/>
      <c r="L1988" s="196" t="str">
        <v xml:space="preserve"> 66.35</v>
      </c>
      <c r="M1988" s="196"/>
    </row>
    <row r="1989" spans="1:13" ht="14.4" x14ac:dyDescent="0.3">
      <c r="A1989" s="189" t="str">
        <f ca="1">IFERROR(__xludf.DUMMYFUNCTION("""COMPUTED_VALUE"""),"T")</f>
        <v>T</v>
      </c>
      <c r="B1989" s="195" t="str">
        <f ca="1">IFERROR(__xludf.DUMMYFUNCTION("""COMPUTED_VALUE"""),"Anika Sander")</f>
        <v>Anika Sander</v>
      </c>
      <c r="C1989" s="189">
        <f ca="1">IFERROR(__xludf.DUMMYFUNCTION("""COMPUTED_VALUE"""),12)</f>
        <v>12</v>
      </c>
      <c r="D1989" s="189" t="str">
        <f ca="1">IFERROR(__xludf.DUMMYFUNCTION("""COMPUTED_VALUE"""),"G")</f>
        <v>G</v>
      </c>
      <c r="E1989" s="189" t="str">
        <f ca="1">IFERROR(__xludf.DUMMYFUNCTION("""COMPUTED_VALUE"""),"J")</f>
        <v>J</v>
      </c>
      <c r="F1989" s="189" t="str">
        <f ca="1">IFERROR(__xludf.DUMMYFUNCTION("""COMPUTED_VALUE"""),"I")</f>
        <v>I</v>
      </c>
      <c r="G1989" s="189">
        <f ca="1">IFERROR(__xludf.DUMMYFUNCTION("""COMPUTED_VALUE"""),6)</f>
        <v>6</v>
      </c>
      <c r="H1989" s="196"/>
      <c r="I1989" s="196"/>
      <c r="J1989" s="196"/>
      <c r="K1989" s="196"/>
      <c r="L1989" s="196" t="str">
        <v/>
      </c>
      <c r="M1989" s="196"/>
    </row>
    <row r="1990" spans="1:13" ht="14.4" x14ac:dyDescent="0.3">
      <c r="A1990" s="189" t="str">
        <f ca="1">IFERROR(__xludf.DUMMYFUNCTION("""COMPUTED_VALUE"""),"T")</f>
        <v>T</v>
      </c>
      <c r="B1990" s="195" t="str">
        <f ca="1">IFERROR(__xludf.DUMMYFUNCTION("""COMPUTED_VALUE"""),"Aria Maru")</f>
        <v>Aria Maru</v>
      </c>
      <c r="C1990" s="189">
        <f ca="1">IFERROR(__xludf.DUMMYFUNCTION("""COMPUTED_VALUE"""),11)</f>
        <v>11</v>
      </c>
      <c r="D1990" s="189" t="str">
        <f ca="1">IFERROR(__xludf.DUMMYFUNCTION("""COMPUTED_VALUE"""),"G")</f>
        <v>G</v>
      </c>
      <c r="E1990" s="189" t="str">
        <f ca="1">IFERROR(__xludf.DUMMYFUNCTION("""COMPUTED_VALUE"""),"J")</f>
        <v>J</v>
      </c>
      <c r="F1990" s="189" t="str">
        <f ca="1">IFERROR(__xludf.DUMMYFUNCTION("""COMPUTED_VALUE"""),"I")</f>
        <v>I</v>
      </c>
      <c r="G1990" s="189">
        <f ca="1">IFERROR(__xludf.DUMMYFUNCTION("""COMPUTED_VALUE"""),6)</f>
        <v>6</v>
      </c>
      <c r="H1990" s="196"/>
      <c r="I1990" s="196"/>
      <c r="J1990" s="196"/>
      <c r="K1990" s="196"/>
      <c r="L1990" s="196" t="str">
        <v/>
      </c>
      <c r="M1990" s="196"/>
    </row>
    <row r="1991" spans="1:13" ht="14.4" x14ac:dyDescent="0.3">
      <c r="A1991" s="189" t="str">
        <f ca="1">IFERROR(__xludf.DUMMYFUNCTION("""COMPUTED_VALUE"""),"T")</f>
        <v>T</v>
      </c>
      <c r="B1991" s="195" t="str">
        <f ca="1">IFERROR(__xludf.DUMMYFUNCTION("""COMPUTED_VALUE"""),"Claire Cannon")</f>
        <v>Claire Cannon</v>
      </c>
      <c r="C1991" s="189">
        <f ca="1">IFERROR(__xludf.DUMMYFUNCTION("""COMPUTED_VALUE"""),11)</f>
        <v>11</v>
      </c>
      <c r="D1991" s="189" t="str">
        <f ca="1">IFERROR(__xludf.DUMMYFUNCTION("""COMPUTED_VALUE"""),"G")</f>
        <v>G</v>
      </c>
      <c r="E1991" s="189" t="str">
        <f ca="1">IFERROR(__xludf.DUMMYFUNCTION("""COMPUTED_VALUE"""),"J")</f>
        <v>J</v>
      </c>
      <c r="F1991" s="189" t="str">
        <f ca="1">IFERROR(__xludf.DUMMYFUNCTION("""COMPUTED_VALUE"""),"I")</f>
        <v>I</v>
      </c>
      <c r="G1991" s="189">
        <f ca="1">IFERROR(__xludf.DUMMYFUNCTION("""COMPUTED_VALUE"""),6)</f>
        <v>6</v>
      </c>
      <c r="H1991" s="196" t="s">
        <v>796</v>
      </c>
      <c r="I1991" s="196"/>
      <c r="J1991" s="196" t="s">
        <v>29</v>
      </c>
      <c r="K1991" s="196"/>
      <c r="L1991" s="196" t="str">
        <v xml:space="preserve"> 87.55</v>
      </c>
      <c r="M1991" s="196"/>
    </row>
    <row r="1992" spans="1:13" ht="14.4" x14ac:dyDescent="0.3">
      <c r="A1992" s="189" t="str">
        <f ca="1">IFERROR(__xludf.DUMMYFUNCTION("""COMPUTED_VALUE"""),"T")</f>
        <v>T</v>
      </c>
      <c r="B1992" s="195" t="str">
        <f ca="1">IFERROR(__xludf.DUMMYFUNCTION("""COMPUTED_VALUE"""),"Eden Cogert")</f>
        <v>Eden Cogert</v>
      </c>
      <c r="C1992" s="189">
        <f ca="1">IFERROR(__xludf.DUMMYFUNCTION("""COMPUTED_VALUE"""),12)</f>
        <v>12</v>
      </c>
      <c r="D1992" s="189" t="str">
        <f ca="1">IFERROR(__xludf.DUMMYFUNCTION("""COMPUTED_VALUE"""),"G")</f>
        <v>G</v>
      </c>
      <c r="E1992" s="189" t="str">
        <f ca="1">IFERROR(__xludf.DUMMYFUNCTION("""COMPUTED_VALUE"""),"J")</f>
        <v>J</v>
      </c>
      <c r="F1992" s="189" t="str">
        <f ca="1">IFERROR(__xludf.DUMMYFUNCTION("""COMPUTED_VALUE"""),"I")</f>
        <v>I</v>
      </c>
      <c r="G1992" s="189">
        <f ca="1">IFERROR(__xludf.DUMMYFUNCTION("""COMPUTED_VALUE"""),6)</f>
        <v>6</v>
      </c>
      <c r="H1992" s="196" t="s">
        <v>683</v>
      </c>
      <c r="I1992" s="196"/>
      <c r="J1992" s="196" t="s">
        <v>29</v>
      </c>
      <c r="K1992" s="196"/>
      <c r="L1992" s="196" t="str">
        <v xml:space="preserve"> 97.75</v>
      </c>
      <c r="M1992" s="196"/>
    </row>
    <row r="1993" spans="1:13" ht="14.4" x14ac:dyDescent="0.3">
      <c r="A1993" s="189" t="str">
        <f ca="1">IFERROR(__xludf.DUMMYFUNCTION("""COMPUTED_VALUE"""),"T")</f>
        <v>T</v>
      </c>
      <c r="B1993" s="195" t="str">
        <f ca="1">IFERROR(__xludf.DUMMYFUNCTION("""COMPUTED_VALUE"""),"Elayna Cogert")</f>
        <v>Elayna Cogert</v>
      </c>
      <c r="C1993" s="189">
        <f ca="1">IFERROR(__xludf.DUMMYFUNCTION("""COMPUTED_VALUE"""),11)</f>
        <v>11</v>
      </c>
      <c r="D1993" s="189" t="str">
        <f ca="1">IFERROR(__xludf.DUMMYFUNCTION("""COMPUTED_VALUE"""),"G")</f>
        <v>G</v>
      </c>
      <c r="E1993" s="189" t="str">
        <f ca="1">IFERROR(__xludf.DUMMYFUNCTION("""COMPUTED_VALUE"""),"J")</f>
        <v>J</v>
      </c>
      <c r="F1993" s="189" t="str">
        <f ca="1">IFERROR(__xludf.DUMMYFUNCTION("""COMPUTED_VALUE"""),"I")</f>
        <v>I</v>
      </c>
      <c r="G1993" s="189">
        <f ca="1">IFERROR(__xludf.DUMMYFUNCTION("""COMPUTED_VALUE"""),6)</f>
        <v>6</v>
      </c>
      <c r="H1993" s="196" t="s">
        <v>797</v>
      </c>
      <c r="I1993" s="196"/>
      <c r="J1993" s="196" t="s">
        <v>29</v>
      </c>
      <c r="K1993" s="196"/>
      <c r="L1993" s="196" t="str">
        <v xml:space="preserve"> 85.70</v>
      </c>
      <c r="M1993" s="196"/>
    </row>
    <row r="1994" spans="1:13" ht="14.4" x14ac:dyDescent="0.3">
      <c r="A1994" s="189" t="str">
        <f ca="1">IFERROR(__xludf.DUMMYFUNCTION("""COMPUTED_VALUE"""),"T")</f>
        <v>T</v>
      </c>
      <c r="B1994" s="195" t="str">
        <f ca="1">IFERROR(__xludf.DUMMYFUNCTION("""COMPUTED_VALUE"""),"Eliza Reece")</f>
        <v>Eliza Reece</v>
      </c>
      <c r="C1994" s="189">
        <f ca="1">IFERROR(__xludf.DUMMYFUNCTION("""COMPUTED_VALUE"""),11)</f>
        <v>11</v>
      </c>
      <c r="D1994" s="189" t="str">
        <f ca="1">IFERROR(__xludf.DUMMYFUNCTION("""COMPUTED_VALUE"""),"G")</f>
        <v>G</v>
      </c>
      <c r="E1994" s="189" t="str">
        <f ca="1">IFERROR(__xludf.DUMMYFUNCTION("""COMPUTED_VALUE"""),"J")</f>
        <v>J</v>
      </c>
      <c r="F1994" s="189" t="str">
        <f ca="1">IFERROR(__xludf.DUMMYFUNCTION("""COMPUTED_VALUE"""),"I")</f>
        <v>I</v>
      </c>
      <c r="G1994" s="189">
        <f ca="1">IFERROR(__xludf.DUMMYFUNCTION("""COMPUTED_VALUE"""),6)</f>
        <v>6</v>
      </c>
      <c r="H1994" s="196"/>
      <c r="I1994" s="196"/>
      <c r="J1994" s="196"/>
      <c r="K1994" s="196"/>
      <c r="L1994" s="196" t="str">
        <v/>
      </c>
      <c r="M1994" s="196"/>
    </row>
    <row r="1995" spans="1:13" ht="14.4" x14ac:dyDescent="0.3">
      <c r="A1995" s="189" t="str">
        <f ca="1">IFERROR(__xludf.DUMMYFUNCTION("""COMPUTED_VALUE"""),"T")</f>
        <v>T</v>
      </c>
      <c r="B1995" s="195" t="str">
        <f ca="1">IFERROR(__xludf.DUMMYFUNCTION("""COMPUTED_VALUE"""),"Eris Carney")</f>
        <v>Eris Carney</v>
      </c>
      <c r="C1995" s="189">
        <f ca="1">IFERROR(__xludf.DUMMYFUNCTION("""COMPUTED_VALUE"""),11)</f>
        <v>11</v>
      </c>
      <c r="D1995" s="189" t="str">
        <f ca="1">IFERROR(__xludf.DUMMYFUNCTION("""COMPUTED_VALUE"""),"G")</f>
        <v>G</v>
      </c>
      <c r="E1995" s="189" t="str">
        <f ca="1">IFERROR(__xludf.DUMMYFUNCTION("""COMPUTED_VALUE"""),"J")</f>
        <v>J</v>
      </c>
      <c r="F1995" s="189" t="str">
        <f ca="1">IFERROR(__xludf.DUMMYFUNCTION("""COMPUTED_VALUE"""),"I")</f>
        <v>I</v>
      </c>
      <c r="G1995" s="189">
        <f ca="1">IFERROR(__xludf.DUMMYFUNCTION("""COMPUTED_VALUE"""),6)</f>
        <v>6</v>
      </c>
      <c r="H1995" s="196"/>
      <c r="I1995" s="196"/>
      <c r="J1995" s="196"/>
      <c r="K1995" s="196"/>
      <c r="L1995" s="196" t="str">
        <v/>
      </c>
      <c r="M1995" s="196"/>
    </row>
    <row r="1996" spans="1:13" ht="14.4" x14ac:dyDescent="0.3">
      <c r="A1996" s="189" t="str">
        <f ca="1">IFERROR(__xludf.DUMMYFUNCTION("""COMPUTED_VALUE"""),"T")</f>
        <v>T</v>
      </c>
      <c r="B1996" s="195" t="str">
        <f ca="1">IFERROR(__xludf.DUMMYFUNCTION("""COMPUTED_VALUE"""),"Farah Mazahery")</f>
        <v>Farah Mazahery</v>
      </c>
      <c r="C1996" s="189">
        <f ca="1">IFERROR(__xludf.DUMMYFUNCTION("""COMPUTED_VALUE"""),12)</f>
        <v>12</v>
      </c>
      <c r="D1996" s="189" t="str">
        <f ca="1">IFERROR(__xludf.DUMMYFUNCTION("""COMPUTED_VALUE"""),"G")</f>
        <v>G</v>
      </c>
      <c r="E1996" s="189" t="str">
        <f ca="1">IFERROR(__xludf.DUMMYFUNCTION("""COMPUTED_VALUE"""),"J")</f>
        <v>J</v>
      </c>
      <c r="F1996" s="189" t="str">
        <f ca="1">IFERROR(__xludf.DUMMYFUNCTION("""COMPUTED_VALUE"""),"I")</f>
        <v>I</v>
      </c>
      <c r="G1996" s="189">
        <f ca="1">IFERROR(__xludf.DUMMYFUNCTION("""COMPUTED_VALUE"""),6)</f>
        <v>6</v>
      </c>
      <c r="H1996" s="196"/>
      <c r="I1996" s="196"/>
      <c r="J1996" s="196"/>
      <c r="K1996" s="196"/>
      <c r="L1996" s="196" t="str">
        <v/>
      </c>
      <c r="M1996" s="196"/>
    </row>
    <row r="1997" spans="1:13" ht="14.4" x14ac:dyDescent="0.3">
      <c r="A1997" s="189" t="str">
        <f ca="1">IFERROR(__xludf.DUMMYFUNCTION("""COMPUTED_VALUE"""),"T")</f>
        <v>T</v>
      </c>
      <c r="B1997" s="195" t="str">
        <f ca="1">IFERROR(__xludf.DUMMYFUNCTION("""COMPUTED_VALUE"""),"Francesca Hernandez")</f>
        <v>Francesca Hernandez</v>
      </c>
      <c r="C1997" s="189">
        <f ca="1">IFERROR(__xludf.DUMMYFUNCTION("""COMPUTED_VALUE"""),11)</f>
        <v>11</v>
      </c>
      <c r="D1997" s="189" t="str">
        <f ca="1">IFERROR(__xludf.DUMMYFUNCTION("""COMPUTED_VALUE"""),"G")</f>
        <v>G</v>
      </c>
      <c r="E1997" s="189" t="str">
        <f ca="1">IFERROR(__xludf.DUMMYFUNCTION("""COMPUTED_VALUE"""),"J")</f>
        <v>J</v>
      </c>
      <c r="F1997" s="189" t="str">
        <f ca="1">IFERROR(__xludf.DUMMYFUNCTION("""COMPUTED_VALUE"""),"I")</f>
        <v>I</v>
      </c>
      <c r="G1997" s="189">
        <f ca="1">IFERROR(__xludf.DUMMYFUNCTION("""COMPUTED_VALUE"""),6)</f>
        <v>6</v>
      </c>
      <c r="H1997" s="196"/>
      <c r="I1997" s="196"/>
      <c r="J1997" s="196"/>
      <c r="K1997" s="196"/>
      <c r="L1997" s="196" t="str">
        <v/>
      </c>
      <c r="M1997" s="196"/>
    </row>
    <row r="1998" spans="1:13" ht="14.4" x14ac:dyDescent="0.3">
      <c r="A1998" s="189" t="str">
        <f ca="1">IFERROR(__xludf.DUMMYFUNCTION("""COMPUTED_VALUE"""),"T")</f>
        <v>T</v>
      </c>
      <c r="B1998" s="195" t="str">
        <f ca="1">IFERROR(__xludf.DUMMYFUNCTION("""COMPUTED_VALUE"""),"Gabi Rodriguez")</f>
        <v>Gabi Rodriguez</v>
      </c>
      <c r="C1998" s="189">
        <f ca="1">IFERROR(__xludf.DUMMYFUNCTION("""COMPUTED_VALUE"""),12)</f>
        <v>12</v>
      </c>
      <c r="D1998" s="189" t="str">
        <f ca="1">IFERROR(__xludf.DUMMYFUNCTION("""COMPUTED_VALUE"""),"G")</f>
        <v>G</v>
      </c>
      <c r="E1998" s="189" t="str">
        <f ca="1">IFERROR(__xludf.DUMMYFUNCTION("""COMPUTED_VALUE"""),"J")</f>
        <v>J</v>
      </c>
      <c r="F1998" s="189" t="str">
        <f ca="1">IFERROR(__xludf.DUMMYFUNCTION("""COMPUTED_VALUE"""),"I")</f>
        <v>I</v>
      </c>
      <c r="G1998" s="189">
        <f ca="1">IFERROR(__xludf.DUMMYFUNCTION("""COMPUTED_VALUE"""),6)</f>
        <v>6</v>
      </c>
      <c r="H1998" s="196"/>
      <c r="I1998" s="196"/>
      <c r="J1998" s="196"/>
      <c r="K1998" s="196"/>
      <c r="L1998" s="196" t="str">
        <v/>
      </c>
      <c r="M1998" s="196"/>
    </row>
    <row r="1999" spans="1:13" ht="14.4" x14ac:dyDescent="0.3">
      <c r="A1999" s="189" t="str">
        <f ca="1">IFERROR(__xludf.DUMMYFUNCTION("""COMPUTED_VALUE"""),"T")</f>
        <v>T</v>
      </c>
      <c r="B1999" s="195" t="str">
        <f ca="1">IFERROR(__xludf.DUMMYFUNCTION("""COMPUTED_VALUE"""),"Leah Bailey")</f>
        <v>Leah Bailey</v>
      </c>
      <c r="C1999" s="189">
        <f ca="1">IFERROR(__xludf.DUMMYFUNCTION("""COMPUTED_VALUE"""),12)</f>
        <v>12</v>
      </c>
      <c r="D1999" s="189" t="str">
        <f ca="1">IFERROR(__xludf.DUMMYFUNCTION("""COMPUTED_VALUE"""),"G")</f>
        <v>G</v>
      </c>
      <c r="E1999" s="189" t="str">
        <f ca="1">IFERROR(__xludf.DUMMYFUNCTION("""COMPUTED_VALUE"""),"J")</f>
        <v>J</v>
      </c>
      <c r="F1999" s="189" t="str">
        <f ca="1">IFERROR(__xludf.DUMMYFUNCTION("""COMPUTED_VALUE"""),"I")</f>
        <v>I</v>
      </c>
      <c r="G1999" s="189">
        <f ca="1">IFERROR(__xludf.DUMMYFUNCTION("""COMPUTED_VALUE"""),6)</f>
        <v>6</v>
      </c>
      <c r="H1999" s="196"/>
      <c r="I1999" s="196"/>
      <c r="J1999" s="196"/>
      <c r="K1999" s="196"/>
      <c r="L1999" s="196" t="str">
        <v/>
      </c>
      <c r="M1999" s="196"/>
    </row>
    <row r="2000" spans="1:13" ht="14.4" x14ac:dyDescent="0.3">
      <c r="A2000" s="189" t="str">
        <f ca="1">IFERROR(__xludf.DUMMYFUNCTION("""COMPUTED_VALUE"""),"T")</f>
        <v>T</v>
      </c>
      <c r="B2000" s="195" t="str">
        <f ca="1">IFERROR(__xludf.DUMMYFUNCTION("""COMPUTED_VALUE"""),"Sam Heller")</f>
        <v>Sam Heller</v>
      </c>
      <c r="C2000" s="189">
        <f ca="1">IFERROR(__xludf.DUMMYFUNCTION("""COMPUTED_VALUE"""),12)</f>
        <v>12</v>
      </c>
      <c r="D2000" s="189" t="str">
        <f ca="1">IFERROR(__xludf.DUMMYFUNCTION("""COMPUTED_VALUE"""),"G")</f>
        <v>G</v>
      </c>
      <c r="E2000" s="189" t="str">
        <f ca="1">IFERROR(__xludf.DUMMYFUNCTION("""COMPUTED_VALUE"""),"J")</f>
        <v>J</v>
      </c>
      <c r="F2000" s="189" t="str">
        <f ca="1">IFERROR(__xludf.DUMMYFUNCTION("""COMPUTED_VALUE"""),"I")</f>
        <v>I</v>
      </c>
      <c r="G2000" s="189">
        <f ca="1">IFERROR(__xludf.DUMMYFUNCTION("""COMPUTED_VALUE"""),6)</f>
        <v>6</v>
      </c>
      <c r="H2000" s="196"/>
      <c r="I2000" s="196"/>
      <c r="J2000" s="196"/>
      <c r="K2000" s="196"/>
      <c r="L2000" s="196" t="str">
        <v/>
      </c>
      <c r="M2000" s="196"/>
    </row>
    <row r="2001" spans="1:13" ht="14.4" x14ac:dyDescent="0.3">
      <c r="A2001" s="189" t="str">
        <f ca="1">IFERROR(__xludf.DUMMYFUNCTION("""COMPUTED_VALUE"""),"T")</f>
        <v>T</v>
      </c>
      <c r="B2001" s="195" t="str">
        <f ca="1">IFERROR(__xludf.DUMMYFUNCTION("""COMPUTED_VALUE"""),"Stella Gilbert")</f>
        <v>Stella Gilbert</v>
      </c>
      <c r="C2001" s="189">
        <f ca="1">IFERROR(__xludf.DUMMYFUNCTION("""COMPUTED_VALUE"""),11)</f>
        <v>11</v>
      </c>
      <c r="D2001" s="189" t="str">
        <f ca="1">IFERROR(__xludf.DUMMYFUNCTION("""COMPUTED_VALUE"""),"G")</f>
        <v>G</v>
      </c>
      <c r="E2001" s="189" t="str">
        <f ca="1">IFERROR(__xludf.DUMMYFUNCTION("""COMPUTED_VALUE"""),"J")</f>
        <v>J</v>
      </c>
      <c r="F2001" s="189" t="str">
        <f ca="1">IFERROR(__xludf.DUMMYFUNCTION("""COMPUTED_VALUE"""),"I")</f>
        <v>I</v>
      </c>
      <c r="G2001" s="189">
        <f ca="1">IFERROR(__xludf.DUMMYFUNCTION("""COMPUTED_VALUE"""),6)</f>
        <v>6</v>
      </c>
      <c r="H2001" s="196"/>
      <c r="I2001" s="196"/>
      <c r="J2001" s="196"/>
      <c r="K2001" s="196"/>
      <c r="L2001" s="196" t="str">
        <v/>
      </c>
      <c r="M2001" s="196"/>
    </row>
    <row r="2002" spans="1:13" ht="14.4" x14ac:dyDescent="0.3">
      <c r="A2002" s="189" t="str">
        <f ca="1">IFERROR(__xludf.DUMMYFUNCTION("""COMPUTED_VALUE"""),"T")</f>
        <v>T</v>
      </c>
      <c r="B2002" s="195" t="str">
        <f ca="1">IFERROR(__xludf.DUMMYFUNCTION("""COMPUTED_VALUE"""),"Zoe Misitzis")</f>
        <v>Zoe Misitzis</v>
      </c>
      <c r="C2002" s="189">
        <f ca="1">IFERROR(__xludf.DUMMYFUNCTION("""COMPUTED_VALUE"""),12)</f>
        <v>12</v>
      </c>
      <c r="D2002" s="189" t="str">
        <f ca="1">IFERROR(__xludf.DUMMYFUNCTION("""COMPUTED_VALUE"""),"G")</f>
        <v>G</v>
      </c>
      <c r="E2002" s="189" t="str">
        <f ca="1">IFERROR(__xludf.DUMMYFUNCTION("""COMPUTED_VALUE"""),"J")</f>
        <v>J</v>
      </c>
      <c r="F2002" s="189" t="str">
        <f ca="1">IFERROR(__xludf.DUMMYFUNCTION("""COMPUTED_VALUE"""),"I")</f>
        <v>I</v>
      </c>
      <c r="G2002" s="189">
        <f ca="1">IFERROR(__xludf.DUMMYFUNCTION("""COMPUTED_VALUE"""),6)</f>
        <v>6</v>
      </c>
      <c r="H2002" s="196"/>
      <c r="I2002" s="196"/>
      <c r="J2002" s="196"/>
      <c r="K2002" s="196"/>
      <c r="L2002" s="196" t="str">
        <v/>
      </c>
      <c r="M2002" s="196"/>
    </row>
    <row r="2003" spans="1:13" ht="14.4" x14ac:dyDescent="0.3">
      <c r="A2003" s="189" t="str">
        <f ca="1">IFERROR(__xludf.DUMMYFUNCTION("""COMPUTED_VALUE"""),"T")</f>
        <v>T</v>
      </c>
      <c r="B2003" s="195" t="str">
        <f ca="1">IFERROR(__xludf.DUMMYFUNCTION("""COMPUTED_VALUE"""),"Ethan Cahn")</f>
        <v>Ethan Cahn</v>
      </c>
      <c r="C2003" s="189">
        <f ca="1">IFERROR(__xludf.DUMMYFUNCTION("""COMPUTED_VALUE"""),12)</f>
        <v>12</v>
      </c>
      <c r="D2003" s="189" t="str">
        <f ca="1">IFERROR(__xludf.DUMMYFUNCTION("""COMPUTED_VALUE"""),"B")</f>
        <v>B</v>
      </c>
      <c r="E2003" s="189" t="str">
        <f ca="1">IFERROR(__xludf.DUMMYFUNCTION("""COMPUTED_VALUE"""),"J")</f>
        <v>J</v>
      </c>
      <c r="F2003" s="189" t="str">
        <f ca="1">IFERROR(__xludf.DUMMYFUNCTION("""COMPUTED_VALUE"""),"I")</f>
        <v>I</v>
      </c>
      <c r="G2003" s="189">
        <f ca="1">IFERROR(__xludf.DUMMYFUNCTION("""COMPUTED_VALUE"""),6)</f>
        <v>6</v>
      </c>
      <c r="H2003" s="196"/>
      <c r="I2003" s="196"/>
      <c r="J2003" s="196"/>
      <c r="K2003" s="196"/>
      <c r="L2003" s="196" t="str">
        <v/>
      </c>
      <c r="M2003" s="196"/>
    </row>
    <row r="2004" spans="1:13" ht="14.4" x14ac:dyDescent="0.3">
      <c r="A2004" s="189" t="str">
        <f ca="1">IFERROR(__xludf.DUMMYFUNCTION("""COMPUTED_VALUE"""),"T")</f>
        <v>T</v>
      </c>
      <c r="B2004" s="195" t="str">
        <f ca="1">IFERROR(__xludf.DUMMYFUNCTION("""COMPUTED_VALUE"""),"Jameson Miller")</f>
        <v>Jameson Miller</v>
      </c>
      <c r="C2004" s="189">
        <f ca="1">IFERROR(__xludf.DUMMYFUNCTION("""COMPUTED_VALUE"""),11)</f>
        <v>11</v>
      </c>
      <c r="D2004" s="189" t="str">
        <f ca="1">IFERROR(__xludf.DUMMYFUNCTION("""COMPUTED_VALUE"""),"B")</f>
        <v>B</v>
      </c>
      <c r="E2004" s="189" t="str">
        <f ca="1">IFERROR(__xludf.DUMMYFUNCTION("""COMPUTED_VALUE"""),"J")</f>
        <v>J</v>
      </c>
      <c r="F2004" s="189" t="str">
        <f ca="1">IFERROR(__xludf.DUMMYFUNCTION("""COMPUTED_VALUE"""),"I")</f>
        <v>I</v>
      </c>
      <c r="G2004" s="189">
        <f ca="1">IFERROR(__xludf.DUMMYFUNCTION("""COMPUTED_VALUE"""),6)</f>
        <v>6</v>
      </c>
      <c r="H2004" s="196"/>
      <c r="I2004" s="196"/>
      <c r="J2004" s="196"/>
      <c r="K2004" s="196"/>
      <c r="L2004" s="196" t="str">
        <v/>
      </c>
      <c r="M2004" s="196"/>
    </row>
    <row r="2005" spans="1:13" ht="14.4" x14ac:dyDescent="0.3">
      <c r="A2005" s="189" t="str">
        <f ca="1">IFERROR(__xludf.DUMMYFUNCTION("""COMPUTED_VALUE"""),"T")</f>
        <v>T</v>
      </c>
      <c r="B2005" s="195" t="str">
        <f ca="1">IFERROR(__xludf.DUMMYFUNCTION("""COMPUTED_VALUE"""),"Oliver Katz")</f>
        <v>Oliver Katz</v>
      </c>
      <c r="C2005" s="189">
        <f ca="1">IFERROR(__xludf.DUMMYFUNCTION("""COMPUTED_VALUE"""),12)</f>
        <v>12</v>
      </c>
      <c r="D2005" s="189" t="str">
        <f ca="1">IFERROR(__xludf.DUMMYFUNCTION("""COMPUTED_VALUE"""),"B")</f>
        <v>B</v>
      </c>
      <c r="E2005" s="189" t="str">
        <f ca="1">IFERROR(__xludf.DUMMYFUNCTION("""COMPUTED_VALUE"""),"J")</f>
        <v>J</v>
      </c>
      <c r="F2005" s="189" t="str">
        <f ca="1">IFERROR(__xludf.DUMMYFUNCTION("""COMPUTED_VALUE"""),"I")</f>
        <v>I</v>
      </c>
      <c r="G2005" s="189">
        <f ca="1">IFERROR(__xludf.DUMMYFUNCTION("""COMPUTED_VALUE"""),6)</f>
        <v>6</v>
      </c>
      <c r="H2005" s="196"/>
      <c r="I2005" s="196"/>
      <c r="J2005" s="196"/>
      <c r="K2005" s="196"/>
      <c r="L2005" s="196" t="str">
        <v/>
      </c>
      <c r="M2005" s="196"/>
    </row>
    <row r="2006" spans="1:13" ht="14.4" x14ac:dyDescent="0.3">
      <c r="A2006" s="189" t="str">
        <f ca="1">IFERROR(__xludf.DUMMYFUNCTION("""COMPUTED_VALUE"""),"T")</f>
        <v>T</v>
      </c>
      <c r="B2006" s="195" t="str">
        <f ca="1">IFERROR(__xludf.DUMMYFUNCTION("""COMPUTED_VALUE"""),"Owen Glasser")</f>
        <v>Owen Glasser</v>
      </c>
      <c r="C2006" s="189">
        <f ca="1">IFERROR(__xludf.DUMMYFUNCTION("""COMPUTED_VALUE"""),11)</f>
        <v>11</v>
      </c>
      <c r="D2006" s="189" t="str">
        <f ca="1">IFERROR(__xludf.DUMMYFUNCTION("""COMPUTED_VALUE"""),"B")</f>
        <v>B</v>
      </c>
      <c r="E2006" s="189" t="str">
        <f ca="1">IFERROR(__xludf.DUMMYFUNCTION("""COMPUTED_VALUE"""),"J")</f>
        <v>J</v>
      </c>
      <c r="F2006" s="189" t="str">
        <f ca="1">IFERROR(__xludf.DUMMYFUNCTION("""COMPUTED_VALUE"""),"I")</f>
        <v>I</v>
      </c>
      <c r="G2006" s="189">
        <f ca="1">IFERROR(__xludf.DUMMYFUNCTION("""COMPUTED_VALUE"""),6)</f>
        <v>6</v>
      </c>
      <c r="H2006" s="196"/>
      <c r="I2006" s="196"/>
      <c r="J2006" s="196"/>
      <c r="K2006" s="196"/>
      <c r="L2006" s="196" t="str">
        <v/>
      </c>
      <c r="M2006" s="196"/>
    </row>
    <row r="2007" spans="1:13" ht="14.4" x14ac:dyDescent="0.3">
      <c r="A2007" s="189" t="str">
        <f ca="1">IFERROR(__xludf.DUMMYFUNCTION("""COMPUTED_VALUE"""),"T")</f>
        <v>T</v>
      </c>
      <c r="B2007" s="195" t="str">
        <f ca="1">IFERROR(__xludf.DUMMYFUNCTION("""COMPUTED_VALUE"""),"Parker Smith")</f>
        <v>Parker Smith</v>
      </c>
      <c r="C2007" s="189">
        <f ca="1">IFERROR(__xludf.DUMMYFUNCTION("""COMPUTED_VALUE"""),12)</f>
        <v>12</v>
      </c>
      <c r="D2007" s="189" t="str">
        <f ca="1">IFERROR(__xludf.DUMMYFUNCTION("""COMPUTED_VALUE"""),"B")</f>
        <v>B</v>
      </c>
      <c r="E2007" s="189" t="str">
        <f ca="1">IFERROR(__xludf.DUMMYFUNCTION("""COMPUTED_VALUE"""),"J")</f>
        <v>J</v>
      </c>
      <c r="F2007" s="189" t="str">
        <f ca="1">IFERROR(__xludf.DUMMYFUNCTION("""COMPUTED_VALUE"""),"I")</f>
        <v>I</v>
      </c>
      <c r="G2007" s="189">
        <f ca="1">IFERROR(__xludf.DUMMYFUNCTION("""COMPUTED_VALUE"""),6)</f>
        <v>6</v>
      </c>
      <c r="H2007" s="196"/>
      <c r="I2007" s="196"/>
      <c r="J2007" s="196"/>
      <c r="K2007" s="196"/>
      <c r="L2007" s="196" t="str">
        <v/>
      </c>
      <c r="M2007" s="196"/>
    </row>
    <row r="2008" spans="1:13" ht="14.4" x14ac:dyDescent="0.3">
      <c r="A2008" s="189" t="str">
        <f ca="1">IFERROR(__xludf.DUMMYFUNCTION("""COMPUTED_VALUE"""),"T")</f>
        <v>T</v>
      </c>
      <c r="B2008" s="195" t="str">
        <f ca="1">IFERROR(__xludf.DUMMYFUNCTION("""COMPUTED_VALUE"""),"Libby Hall")</f>
        <v>Libby Hall</v>
      </c>
      <c r="C2008" s="189">
        <f ca="1">IFERROR(__xludf.DUMMYFUNCTION("""COMPUTED_VALUE"""),17)</f>
        <v>17</v>
      </c>
      <c r="D2008" s="189" t="str">
        <f ca="1">IFERROR(__xludf.DUMMYFUNCTION("""COMPUTED_VALUE"""),"G")</f>
        <v>G</v>
      </c>
      <c r="E2008" s="189" t="str">
        <f ca="1">IFERROR(__xludf.DUMMYFUNCTION("""COMPUTED_VALUE"""),"S")</f>
        <v>S</v>
      </c>
      <c r="F2008" s="189" t="str">
        <f ca="1">IFERROR(__xludf.DUMMYFUNCTION("""COMPUTED_VALUE"""),"S")</f>
        <v>S</v>
      </c>
      <c r="G2008" s="189">
        <f ca="1">IFERROR(__xludf.DUMMYFUNCTION("""COMPUTED_VALUE"""),6)</f>
        <v>6</v>
      </c>
      <c r="H2008" s="196"/>
      <c r="I2008" s="196"/>
      <c r="J2008" s="196"/>
      <c r="K2008" s="196"/>
      <c r="L2008" s="196" t="str">
        <v/>
      </c>
      <c r="M2008" s="196"/>
    </row>
    <row r="2009" spans="1:13" ht="14.4" x14ac:dyDescent="0.3">
      <c r="A2009" s="189" t="str">
        <f ca="1">IFERROR(__xludf.DUMMYFUNCTION("""COMPUTED_VALUE"""),"T")</f>
        <v>T</v>
      </c>
      <c r="B2009" s="195" t="str">
        <f ca="1">IFERROR(__xludf.DUMMYFUNCTION("""COMPUTED_VALUE"""),"Lucy Silverstein")</f>
        <v>Lucy Silverstein</v>
      </c>
      <c r="C2009" s="189">
        <f ca="1">IFERROR(__xludf.DUMMYFUNCTION("""COMPUTED_VALUE"""),18)</f>
        <v>18</v>
      </c>
      <c r="D2009" s="189" t="str">
        <f ca="1">IFERROR(__xludf.DUMMYFUNCTION("""COMPUTED_VALUE"""),"G")</f>
        <v>G</v>
      </c>
      <c r="E2009" s="189" t="str">
        <f ca="1">IFERROR(__xludf.DUMMYFUNCTION("""COMPUTED_VALUE"""),"S")</f>
        <v>S</v>
      </c>
      <c r="F2009" s="189" t="str">
        <f ca="1">IFERROR(__xludf.DUMMYFUNCTION("""COMPUTED_VALUE"""),"S")</f>
        <v>S</v>
      </c>
      <c r="G2009" s="189">
        <f ca="1">IFERROR(__xludf.DUMMYFUNCTION("""COMPUTED_VALUE"""),6)</f>
        <v>6</v>
      </c>
      <c r="H2009" s="196"/>
      <c r="I2009" s="196"/>
      <c r="J2009" s="196"/>
      <c r="K2009" s="196"/>
      <c r="L2009" s="196" t="str">
        <v/>
      </c>
      <c r="M2009" s="196"/>
    </row>
    <row r="2010" spans="1:13" ht="14.4" x14ac:dyDescent="0.3">
      <c r="A2010" s="189" t="str">
        <f ca="1">IFERROR(__xludf.DUMMYFUNCTION("""COMPUTED_VALUE"""),"T")</f>
        <v>T</v>
      </c>
      <c r="B2010" s="195" t="str">
        <f ca="1">IFERROR(__xludf.DUMMYFUNCTION("""COMPUTED_VALUE"""),"Maura Leonard")</f>
        <v>Maura Leonard</v>
      </c>
      <c r="C2010" s="189">
        <f ca="1">IFERROR(__xludf.DUMMYFUNCTION("""COMPUTED_VALUE"""),16)</f>
        <v>16</v>
      </c>
      <c r="D2010" s="189" t="str">
        <f ca="1">IFERROR(__xludf.DUMMYFUNCTION("""COMPUTED_VALUE"""),"G")</f>
        <v>G</v>
      </c>
      <c r="E2010" s="189" t="str">
        <f ca="1">IFERROR(__xludf.DUMMYFUNCTION("""COMPUTED_VALUE"""),"S")</f>
        <v>S</v>
      </c>
      <c r="F2010" s="189" t="str">
        <f ca="1">IFERROR(__xludf.DUMMYFUNCTION("""COMPUTED_VALUE"""),"S")</f>
        <v>S</v>
      </c>
      <c r="G2010" s="189">
        <f ca="1">IFERROR(__xludf.DUMMYFUNCTION("""COMPUTED_VALUE"""),6)</f>
        <v>6</v>
      </c>
      <c r="H2010" s="196"/>
      <c r="I2010" s="196"/>
      <c r="J2010" s="196"/>
      <c r="K2010" s="196"/>
      <c r="L2010" s="196" t="str">
        <v/>
      </c>
      <c r="M2010" s="196"/>
    </row>
    <row r="2011" spans="1:13" ht="14.4" x14ac:dyDescent="0.3">
      <c r="A2011" s="189" t="str">
        <f ca="1">IFERROR(__xludf.DUMMYFUNCTION("""COMPUTED_VALUE"""),"T")</f>
        <v>T</v>
      </c>
      <c r="B2011" s="195" t="str">
        <f ca="1">IFERROR(__xludf.DUMMYFUNCTION("""COMPUTED_VALUE"""),"Connor Tweddle")</f>
        <v>Connor Tweddle</v>
      </c>
      <c r="C2011" s="189">
        <f ca="1">IFERROR(__xludf.DUMMYFUNCTION("""COMPUTED_VALUE"""),17)</f>
        <v>17</v>
      </c>
      <c r="D2011" s="189" t="str">
        <f ca="1">IFERROR(__xludf.DUMMYFUNCTION("""COMPUTED_VALUE"""),"B")</f>
        <v>B</v>
      </c>
      <c r="E2011" s="189" t="str">
        <f ca="1">IFERROR(__xludf.DUMMYFUNCTION("""COMPUTED_VALUE"""),"S")</f>
        <v>S</v>
      </c>
      <c r="F2011" s="189" t="str">
        <f ca="1">IFERROR(__xludf.DUMMYFUNCTION("""COMPUTED_VALUE"""),"S")</f>
        <v>S</v>
      </c>
      <c r="G2011" s="189">
        <f ca="1">IFERROR(__xludf.DUMMYFUNCTION("""COMPUTED_VALUE"""),6)</f>
        <v>6</v>
      </c>
      <c r="H2011" s="196"/>
      <c r="I2011" s="196"/>
      <c r="J2011" s="196"/>
      <c r="K2011" s="196"/>
      <c r="L2011" s="196" t="str">
        <v/>
      </c>
      <c r="M2011" s="196"/>
    </row>
    <row r="2012" spans="1:13" ht="14.4" x14ac:dyDescent="0.3">
      <c r="A2012" s="189" t="str">
        <f ca="1">IFERROR(__xludf.DUMMYFUNCTION("""COMPUTED_VALUE"""),"THA")</f>
        <v>THA</v>
      </c>
      <c r="B2012" s="195" t="str">
        <f ca="1">IFERROR(__xludf.DUMMYFUNCTION("""COMPUTED_VALUE"""),"Emilie Glass")</f>
        <v>Emilie Glass</v>
      </c>
      <c r="C2012" s="189">
        <f ca="1">IFERROR(__xludf.DUMMYFUNCTION("""COMPUTED_VALUE"""),10)</f>
        <v>10</v>
      </c>
      <c r="D2012" s="189" t="str">
        <f ca="1">IFERROR(__xludf.DUMMYFUNCTION("""COMPUTED_VALUE"""),"G")</f>
        <v>G</v>
      </c>
      <c r="E2012" s="189" t="str">
        <f ca="1">IFERROR(__xludf.DUMMYFUNCTION("""COMPUTED_VALUE"""),"F")</f>
        <v>F</v>
      </c>
      <c r="F2012" s="189" t="str">
        <f ca="1">IFERROR(__xludf.DUMMYFUNCTION("""COMPUTED_VALUE"""),"J")</f>
        <v>J</v>
      </c>
      <c r="G2012" s="189">
        <f ca="1">IFERROR(__xludf.DUMMYFUNCTION("""COMPUTED_VALUE"""),4)</f>
        <v>4</v>
      </c>
      <c r="H2012" s="196" t="s">
        <v>407</v>
      </c>
      <c r="I2012" s="196"/>
      <c r="J2012" s="196" t="s">
        <v>29</v>
      </c>
      <c r="K2012" s="196"/>
      <c r="L2012" s="196" t="str">
        <v xml:space="preserve"> 32.00</v>
      </c>
      <c r="M2012" s="196"/>
    </row>
    <row r="2013" spans="1:13" ht="14.4" x14ac:dyDescent="0.3">
      <c r="A2013" s="189" t="str">
        <f ca="1">IFERROR(__xludf.DUMMYFUNCTION("""COMPUTED_VALUE"""),"THA")</f>
        <v>THA</v>
      </c>
      <c r="B2013" s="195" t="str">
        <f ca="1">IFERROR(__xludf.DUMMYFUNCTION("""COMPUTED_VALUE"""),"Felicity Hanlon")</f>
        <v>Felicity Hanlon</v>
      </c>
      <c r="C2013" s="189">
        <f ca="1">IFERROR(__xludf.DUMMYFUNCTION("""COMPUTED_VALUE"""),9)</f>
        <v>9</v>
      </c>
      <c r="D2013" s="189" t="str">
        <f ca="1">IFERROR(__xludf.DUMMYFUNCTION("""COMPUTED_VALUE"""),"G")</f>
        <v>G</v>
      </c>
      <c r="E2013" s="189" t="str">
        <f ca="1">IFERROR(__xludf.DUMMYFUNCTION("""COMPUTED_VALUE"""),"F")</f>
        <v>F</v>
      </c>
      <c r="F2013" s="189" t="str">
        <f ca="1">IFERROR(__xludf.DUMMYFUNCTION("""COMPUTED_VALUE"""),"J")</f>
        <v>J</v>
      </c>
      <c r="G2013" s="189">
        <f ca="1">IFERROR(__xludf.DUMMYFUNCTION("""COMPUTED_VALUE"""),4)</f>
        <v>4</v>
      </c>
      <c r="H2013" s="196"/>
      <c r="I2013" s="196"/>
      <c r="J2013" s="196"/>
      <c r="K2013" s="196"/>
      <c r="L2013" s="196" t="str">
        <v/>
      </c>
      <c r="M2013" s="196"/>
    </row>
    <row r="2014" spans="1:13" ht="14.4" x14ac:dyDescent="0.3">
      <c r="A2014" s="189" t="str">
        <f ca="1">IFERROR(__xludf.DUMMYFUNCTION("""COMPUTED_VALUE"""),"THA")</f>
        <v>THA</v>
      </c>
      <c r="B2014" s="195" t="str">
        <f ca="1">IFERROR(__xludf.DUMMYFUNCTION("""COMPUTED_VALUE"""),"Gabrielle Hanlon")</f>
        <v>Gabrielle Hanlon</v>
      </c>
      <c r="C2014" s="189">
        <f ca="1">IFERROR(__xludf.DUMMYFUNCTION("""COMPUTED_VALUE"""),9)</f>
        <v>9</v>
      </c>
      <c r="D2014" s="189" t="str">
        <f ca="1">IFERROR(__xludf.DUMMYFUNCTION("""COMPUTED_VALUE"""),"G")</f>
        <v>G</v>
      </c>
      <c r="E2014" s="189" t="str">
        <f ca="1">IFERROR(__xludf.DUMMYFUNCTION("""COMPUTED_VALUE"""),"F")</f>
        <v>F</v>
      </c>
      <c r="F2014" s="189" t="str">
        <f ca="1">IFERROR(__xludf.DUMMYFUNCTION("""COMPUTED_VALUE"""),"J")</f>
        <v>J</v>
      </c>
      <c r="G2014" s="189">
        <f ca="1">IFERROR(__xludf.DUMMYFUNCTION("""COMPUTED_VALUE"""),4)</f>
        <v>4</v>
      </c>
      <c r="H2014" s="196"/>
      <c r="I2014" s="196"/>
      <c r="J2014" s="196"/>
      <c r="K2014" s="196"/>
      <c r="L2014" s="196" t="str">
        <v/>
      </c>
      <c r="M2014" s="196"/>
    </row>
    <row r="2015" spans="1:13" ht="14.4" x14ac:dyDescent="0.3">
      <c r="A2015" s="189" t="str">
        <f ca="1">IFERROR(__xludf.DUMMYFUNCTION("""COMPUTED_VALUE"""),"THA")</f>
        <v>THA</v>
      </c>
      <c r="B2015" s="195" t="str">
        <f ca="1">IFERROR(__xludf.DUMMYFUNCTION("""COMPUTED_VALUE"""),"Gincy Zapf")</f>
        <v>Gincy Zapf</v>
      </c>
      <c r="C2015" s="189">
        <f ca="1">IFERROR(__xludf.DUMMYFUNCTION("""COMPUTED_VALUE"""),9)</f>
        <v>9</v>
      </c>
      <c r="D2015" s="189" t="str">
        <f ca="1">IFERROR(__xludf.DUMMYFUNCTION("""COMPUTED_VALUE"""),"G")</f>
        <v>G</v>
      </c>
      <c r="E2015" s="189" t="str">
        <f ca="1">IFERROR(__xludf.DUMMYFUNCTION("""COMPUTED_VALUE"""),"F")</f>
        <v>F</v>
      </c>
      <c r="F2015" s="189" t="str">
        <f ca="1">IFERROR(__xludf.DUMMYFUNCTION("""COMPUTED_VALUE"""),"J")</f>
        <v>J</v>
      </c>
      <c r="G2015" s="189">
        <f ca="1">IFERROR(__xludf.DUMMYFUNCTION("""COMPUTED_VALUE"""),4)</f>
        <v>4</v>
      </c>
      <c r="H2015" s="196"/>
      <c r="I2015" s="196"/>
      <c r="J2015" s="196"/>
      <c r="K2015" s="196"/>
      <c r="L2015" s="196" t="str">
        <v/>
      </c>
      <c r="M2015" s="196"/>
    </row>
    <row r="2016" spans="1:13" ht="14.4" x14ac:dyDescent="0.3">
      <c r="A2016" s="189" t="str">
        <f ca="1">IFERROR(__xludf.DUMMYFUNCTION("""COMPUTED_VALUE"""),"THA")</f>
        <v>THA</v>
      </c>
      <c r="B2016" s="195" t="str">
        <f ca="1">IFERROR(__xludf.DUMMYFUNCTION("""COMPUTED_VALUE"""),"Halley Hughes")</f>
        <v>Halley Hughes</v>
      </c>
      <c r="C2016" s="189">
        <f ca="1">IFERROR(__xludf.DUMMYFUNCTION("""COMPUTED_VALUE"""),8)</f>
        <v>8</v>
      </c>
      <c r="D2016" s="189" t="str">
        <f ca="1">IFERROR(__xludf.DUMMYFUNCTION("""COMPUTED_VALUE"""),"G")</f>
        <v>G</v>
      </c>
      <c r="E2016" s="189" t="str">
        <f ca="1">IFERROR(__xludf.DUMMYFUNCTION("""COMPUTED_VALUE"""),"F")</f>
        <v>F</v>
      </c>
      <c r="F2016" s="189" t="str">
        <f ca="1">IFERROR(__xludf.DUMMYFUNCTION("""COMPUTED_VALUE"""),"J")</f>
        <v>J</v>
      </c>
      <c r="G2016" s="189">
        <f ca="1">IFERROR(__xludf.DUMMYFUNCTION("""COMPUTED_VALUE"""),4)</f>
        <v>4</v>
      </c>
      <c r="H2016" s="196"/>
      <c r="I2016" s="196"/>
      <c r="J2016" s="196"/>
      <c r="K2016" s="196"/>
      <c r="L2016" s="196" t="str">
        <v/>
      </c>
      <c r="M2016" s="196"/>
    </row>
    <row r="2017" spans="1:13" ht="14.4" x14ac:dyDescent="0.3">
      <c r="A2017" s="189" t="str">
        <f ca="1">IFERROR(__xludf.DUMMYFUNCTION("""COMPUTED_VALUE"""),"THA")</f>
        <v>THA</v>
      </c>
      <c r="B2017" s="195" t="str">
        <f ca="1">IFERROR(__xludf.DUMMYFUNCTION("""COMPUTED_VALUE"""),"Lauren Myers")</f>
        <v>Lauren Myers</v>
      </c>
      <c r="C2017" s="189">
        <f ca="1">IFERROR(__xludf.DUMMYFUNCTION("""COMPUTED_VALUE"""),8)</f>
        <v>8</v>
      </c>
      <c r="D2017" s="189" t="str">
        <f ca="1">IFERROR(__xludf.DUMMYFUNCTION("""COMPUTED_VALUE"""),"G")</f>
        <v>G</v>
      </c>
      <c r="E2017" s="189" t="str">
        <f ca="1">IFERROR(__xludf.DUMMYFUNCTION("""COMPUTED_VALUE"""),"F")</f>
        <v>F</v>
      </c>
      <c r="F2017" s="189" t="str">
        <f ca="1">IFERROR(__xludf.DUMMYFUNCTION("""COMPUTED_VALUE"""),"J")</f>
        <v>J</v>
      </c>
      <c r="G2017" s="189">
        <f ca="1">IFERROR(__xludf.DUMMYFUNCTION("""COMPUTED_VALUE"""),4)</f>
        <v>4</v>
      </c>
      <c r="H2017" s="196"/>
      <c r="I2017" s="196"/>
      <c r="J2017" s="196"/>
      <c r="K2017" s="196"/>
      <c r="L2017" s="196" t="str">
        <v/>
      </c>
      <c r="M2017" s="196"/>
    </row>
    <row r="2018" spans="1:13" ht="14.4" x14ac:dyDescent="0.3">
      <c r="A2018" s="189" t="str">
        <f ca="1">IFERROR(__xludf.DUMMYFUNCTION("""COMPUTED_VALUE"""),"THA")</f>
        <v>THA</v>
      </c>
      <c r="B2018" s="195" t="str">
        <f ca="1">IFERROR(__xludf.DUMMYFUNCTION("""COMPUTED_VALUE"""),"Lydia Kieffer")</f>
        <v>Lydia Kieffer</v>
      </c>
      <c r="C2018" s="189">
        <f ca="1">IFERROR(__xludf.DUMMYFUNCTION("""COMPUTED_VALUE"""),8)</f>
        <v>8</v>
      </c>
      <c r="D2018" s="189" t="str">
        <f ca="1">IFERROR(__xludf.DUMMYFUNCTION("""COMPUTED_VALUE"""),"G")</f>
        <v>G</v>
      </c>
      <c r="E2018" s="189" t="str">
        <f ca="1">IFERROR(__xludf.DUMMYFUNCTION("""COMPUTED_VALUE"""),"F")</f>
        <v>F</v>
      </c>
      <c r="F2018" s="189" t="str">
        <f ca="1">IFERROR(__xludf.DUMMYFUNCTION("""COMPUTED_VALUE"""),"J")</f>
        <v>J</v>
      </c>
      <c r="G2018" s="189">
        <f ca="1">IFERROR(__xludf.DUMMYFUNCTION("""COMPUTED_VALUE"""),4)</f>
        <v>4</v>
      </c>
      <c r="H2018" s="196"/>
      <c r="I2018" s="196"/>
      <c r="J2018" s="196"/>
      <c r="K2018" s="196"/>
      <c r="L2018" s="196" t="str">
        <v/>
      </c>
      <c r="M2018" s="196"/>
    </row>
    <row r="2019" spans="1:13" ht="14.4" x14ac:dyDescent="0.3">
      <c r="A2019" s="189" t="str">
        <f ca="1">IFERROR(__xludf.DUMMYFUNCTION("""COMPUTED_VALUE"""),"THA")</f>
        <v>THA</v>
      </c>
      <c r="B2019" s="195" t="str">
        <f ca="1">IFERROR(__xludf.DUMMYFUNCTION("""COMPUTED_VALUE"""),"Nathalie Lord")</f>
        <v>Nathalie Lord</v>
      </c>
      <c r="C2019" s="189">
        <f ca="1">IFERROR(__xludf.DUMMYFUNCTION("""COMPUTED_VALUE"""),9)</f>
        <v>9</v>
      </c>
      <c r="D2019" s="189" t="str">
        <f ca="1">IFERROR(__xludf.DUMMYFUNCTION("""COMPUTED_VALUE"""),"G")</f>
        <v>G</v>
      </c>
      <c r="E2019" s="189" t="str">
        <f ca="1">IFERROR(__xludf.DUMMYFUNCTION("""COMPUTED_VALUE"""),"F")</f>
        <v>F</v>
      </c>
      <c r="F2019" s="189" t="str">
        <f ca="1">IFERROR(__xludf.DUMMYFUNCTION("""COMPUTED_VALUE"""),"J")</f>
        <v>J</v>
      </c>
      <c r="G2019" s="189">
        <f ca="1">IFERROR(__xludf.DUMMYFUNCTION("""COMPUTED_VALUE"""),4)</f>
        <v>4</v>
      </c>
      <c r="H2019" s="196"/>
      <c r="I2019" s="196"/>
      <c r="J2019" s="196"/>
      <c r="K2019" s="196"/>
      <c r="L2019" s="196" t="str">
        <v/>
      </c>
      <c r="M2019" s="196"/>
    </row>
    <row r="2020" spans="1:13" ht="14.4" x14ac:dyDescent="0.3">
      <c r="A2020" s="189" t="str">
        <f ca="1">IFERROR(__xludf.DUMMYFUNCTION("""COMPUTED_VALUE"""),"THA")</f>
        <v>THA</v>
      </c>
      <c r="B2020" s="195" t="str">
        <f ca="1">IFERROR(__xludf.DUMMYFUNCTION("""COMPUTED_VALUE"""),"Sofia Dalilaltojari")</f>
        <v>Sofia Dalilaltojari</v>
      </c>
      <c r="C2020" s="189">
        <f ca="1">IFERROR(__xludf.DUMMYFUNCTION("""COMPUTED_VALUE"""),10)</f>
        <v>10</v>
      </c>
      <c r="D2020" s="189" t="str">
        <f ca="1">IFERROR(__xludf.DUMMYFUNCTION("""COMPUTED_VALUE"""),"G")</f>
        <v>G</v>
      </c>
      <c r="E2020" s="189" t="str">
        <f ca="1">IFERROR(__xludf.DUMMYFUNCTION("""COMPUTED_VALUE"""),"F")</f>
        <v>F</v>
      </c>
      <c r="F2020" s="189" t="str">
        <f ca="1">IFERROR(__xludf.DUMMYFUNCTION("""COMPUTED_VALUE"""),"J")</f>
        <v>J</v>
      </c>
      <c r="G2020" s="189">
        <f ca="1">IFERROR(__xludf.DUMMYFUNCTION("""COMPUTED_VALUE"""),4)</f>
        <v>4</v>
      </c>
      <c r="H2020" s="196" t="s">
        <v>798</v>
      </c>
      <c r="I2020" s="196"/>
      <c r="J2020" s="196" t="s">
        <v>29</v>
      </c>
      <c r="K2020" s="196"/>
      <c r="L2020" s="196" t="str">
        <v xml:space="preserve"> 41.20</v>
      </c>
      <c r="M2020" s="196"/>
    </row>
    <row r="2021" spans="1:13" ht="14.4" x14ac:dyDescent="0.3">
      <c r="A2021" s="189" t="str">
        <f ca="1">IFERROR(__xludf.DUMMYFUNCTION("""COMPUTED_VALUE"""),"THA")</f>
        <v>THA</v>
      </c>
      <c r="B2021" s="195" t="str">
        <f ca="1">IFERROR(__xludf.DUMMYFUNCTION("""COMPUTED_VALUE"""),"Sophia Herbert")</f>
        <v>Sophia Herbert</v>
      </c>
      <c r="C2021" s="189">
        <f ca="1">IFERROR(__xludf.DUMMYFUNCTION("""COMPUTED_VALUE"""),10)</f>
        <v>10</v>
      </c>
      <c r="D2021" s="189" t="str">
        <f ca="1">IFERROR(__xludf.DUMMYFUNCTION("""COMPUTED_VALUE"""),"G")</f>
        <v>G</v>
      </c>
      <c r="E2021" s="189" t="str">
        <f ca="1">IFERROR(__xludf.DUMMYFUNCTION("""COMPUTED_VALUE"""),"F")</f>
        <v>F</v>
      </c>
      <c r="F2021" s="189" t="str">
        <f ca="1">IFERROR(__xludf.DUMMYFUNCTION("""COMPUTED_VALUE"""),"J")</f>
        <v>J</v>
      </c>
      <c r="G2021" s="189">
        <f ca="1">IFERROR(__xludf.DUMMYFUNCTION("""COMPUTED_VALUE"""),4)</f>
        <v>4</v>
      </c>
      <c r="H2021" s="196"/>
      <c r="I2021" s="196"/>
      <c r="J2021" s="196"/>
      <c r="K2021" s="196"/>
      <c r="L2021" s="196" t="str">
        <v/>
      </c>
      <c r="M2021" s="196"/>
    </row>
    <row r="2022" spans="1:13" ht="14.4" x14ac:dyDescent="0.3">
      <c r="A2022" s="189" t="str">
        <f ca="1">IFERROR(__xludf.DUMMYFUNCTION("""COMPUTED_VALUE"""),"THA")</f>
        <v>THA</v>
      </c>
      <c r="B2022" s="195" t="str">
        <f ca="1">IFERROR(__xludf.DUMMYFUNCTION("""COMPUTED_VALUE"""),"Andrew Baldovich")</f>
        <v>Andrew Baldovich</v>
      </c>
      <c r="C2022" s="189">
        <f ca="1">IFERROR(__xludf.DUMMYFUNCTION("""COMPUTED_VALUE"""),6)</f>
        <v>6</v>
      </c>
      <c r="D2022" s="189" t="str">
        <f ca="1">IFERROR(__xludf.DUMMYFUNCTION("""COMPUTED_VALUE"""),"B")</f>
        <v>B</v>
      </c>
      <c r="E2022" s="189" t="str">
        <f ca="1">IFERROR(__xludf.DUMMYFUNCTION("""COMPUTED_VALUE"""),"F")</f>
        <v>F</v>
      </c>
      <c r="F2022" s="189" t="str">
        <f ca="1">IFERROR(__xludf.DUMMYFUNCTION("""COMPUTED_VALUE"""),"J")</f>
        <v>J</v>
      </c>
      <c r="G2022" s="189">
        <f ca="1">IFERROR(__xludf.DUMMYFUNCTION("""COMPUTED_VALUE"""),4)</f>
        <v>4</v>
      </c>
      <c r="H2022" s="196"/>
      <c r="I2022" s="196"/>
      <c r="J2022" s="196"/>
      <c r="K2022" s="196"/>
      <c r="L2022" s="196" t="str">
        <v/>
      </c>
      <c r="M2022" s="196"/>
    </row>
    <row r="2023" spans="1:13" ht="14.4" x14ac:dyDescent="0.3">
      <c r="A2023" s="189" t="str">
        <f ca="1">IFERROR(__xludf.DUMMYFUNCTION("""COMPUTED_VALUE"""),"THA")</f>
        <v>THA</v>
      </c>
      <c r="B2023" s="195" t="str">
        <f ca="1">IFERROR(__xludf.DUMMYFUNCTION("""COMPUTED_VALUE"""),"Atticus Lee")</f>
        <v>Atticus Lee</v>
      </c>
      <c r="C2023" s="189">
        <f ca="1">IFERROR(__xludf.DUMMYFUNCTION("""COMPUTED_VALUE"""),10)</f>
        <v>10</v>
      </c>
      <c r="D2023" s="189" t="str">
        <f ca="1">IFERROR(__xludf.DUMMYFUNCTION("""COMPUTED_VALUE"""),"B")</f>
        <v>B</v>
      </c>
      <c r="E2023" s="189" t="str">
        <f ca="1">IFERROR(__xludf.DUMMYFUNCTION("""COMPUTED_VALUE"""),"F")</f>
        <v>F</v>
      </c>
      <c r="F2023" s="189" t="str">
        <f ca="1">IFERROR(__xludf.DUMMYFUNCTION("""COMPUTED_VALUE"""),"J")</f>
        <v>J</v>
      </c>
      <c r="G2023" s="189">
        <f ca="1">IFERROR(__xludf.DUMMYFUNCTION("""COMPUTED_VALUE"""),4)</f>
        <v>4</v>
      </c>
      <c r="H2023" s="196"/>
      <c r="I2023" s="196"/>
      <c r="J2023" s="196"/>
      <c r="K2023" s="196"/>
      <c r="L2023" s="196" t="str">
        <v/>
      </c>
      <c r="M2023" s="196"/>
    </row>
    <row r="2024" spans="1:13" ht="14.4" x14ac:dyDescent="0.3">
      <c r="A2024" s="189" t="str">
        <f ca="1">IFERROR(__xludf.DUMMYFUNCTION("""COMPUTED_VALUE"""),"THA")</f>
        <v>THA</v>
      </c>
      <c r="B2024" s="195" t="str">
        <f ca="1">IFERROR(__xludf.DUMMYFUNCTION("""COMPUTED_VALUE"""),"Callum Pitera")</f>
        <v>Callum Pitera</v>
      </c>
      <c r="C2024" s="189">
        <f ca="1">IFERROR(__xludf.DUMMYFUNCTION("""COMPUTED_VALUE"""),10)</f>
        <v>10</v>
      </c>
      <c r="D2024" s="189" t="str">
        <f ca="1">IFERROR(__xludf.DUMMYFUNCTION("""COMPUTED_VALUE"""),"B")</f>
        <v>B</v>
      </c>
      <c r="E2024" s="189" t="str">
        <f ca="1">IFERROR(__xludf.DUMMYFUNCTION("""COMPUTED_VALUE"""),"F")</f>
        <v>F</v>
      </c>
      <c r="F2024" s="189" t="str">
        <f ca="1">IFERROR(__xludf.DUMMYFUNCTION("""COMPUTED_VALUE"""),"J")</f>
        <v>J</v>
      </c>
      <c r="G2024" s="189">
        <f ca="1">IFERROR(__xludf.DUMMYFUNCTION("""COMPUTED_VALUE"""),4)</f>
        <v>4</v>
      </c>
      <c r="H2024" s="196" t="s">
        <v>799</v>
      </c>
      <c r="I2024" s="196"/>
      <c r="J2024" s="196" t="s">
        <v>29</v>
      </c>
      <c r="K2024" s="196"/>
      <c r="L2024" s="196" t="str">
        <v xml:space="preserve"> 56.30</v>
      </c>
      <c r="M2024" s="196"/>
    </row>
    <row r="2025" spans="1:13" ht="14.4" x14ac:dyDescent="0.3">
      <c r="A2025" s="189" t="str">
        <f ca="1">IFERROR(__xludf.DUMMYFUNCTION("""COMPUTED_VALUE"""),"THA")</f>
        <v>THA</v>
      </c>
      <c r="B2025" s="197" t="str">
        <f ca="1">IFERROR(__xludf.DUMMYFUNCTION("""COMPUTED_VALUE"""),"David Myers")</f>
        <v>David Myers</v>
      </c>
      <c r="C2025" s="189">
        <f ca="1">IFERROR(__xludf.DUMMYFUNCTION("""COMPUTED_VALUE"""),10)</f>
        <v>10</v>
      </c>
      <c r="D2025" s="189" t="str">
        <f ca="1">IFERROR(__xludf.DUMMYFUNCTION("""COMPUTED_VALUE"""),"B")</f>
        <v>B</v>
      </c>
      <c r="E2025" s="189" t="str">
        <f ca="1">IFERROR(__xludf.DUMMYFUNCTION("""COMPUTED_VALUE"""),"F")</f>
        <v>F</v>
      </c>
      <c r="F2025" s="189" t="str">
        <f ca="1">IFERROR(__xludf.DUMMYFUNCTION("""COMPUTED_VALUE"""),"J")</f>
        <v>J</v>
      </c>
      <c r="G2025" s="189">
        <f ca="1">IFERROR(__xludf.DUMMYFUNCTION("""COMPUTED_VALUE"""),4)</f>
        <v>4</v>
      </c>
      <c r="H2025" s="196"/>
      <c r="I2025" s="196"/>
      <c r="J2025" s="196"/>
      <c r="K2025" s="196"/>
      <c r="L2025" s="196" t="str">
        <v/>
      </c>
      <c r="M2025" s="196"/>
    </row>
    <row r="2026" spans="1:13" ht="14.4" x14ac:dyDescent="0.3">
      <c r="A2026" s="189" t="str">
        <f ca="1">IFERROR(__xludf.DUMMYFUNCTION("""COMPUTED_VALUE"""),"THA")</f>
        <v>THA</v>
      </c>
      <c r="B2026" s="197" t="str">
        <f ca="1">IFERROR(__xludf.DUMMYFUNCTION("""COMPUTED_VALUE"""),"Elliot Lee")</f>
        <v>Elliot Lee</v>
      </c>
      <c r="C2026" s="189">
        <f ca="1">IFERROR(__xludf.DUMMYFUNCTION("""COMPUTED_VALUE"""),7)</f>
        <v>7</v>
      </c>
      <c r="D2026" s="189" t="str">
        <f ca="1">IFERROR(__xludf.DUMMYFUNCTION("""COMPUTED_VALUE"""),"B")</f>
        <v>B</v>
      </c>
      <c r="E2026" s="189" t="str">
        <f ca="1">IFERROR(__xludf.DUMMYFUNCTION("""COMPUTED_VALUE"""),"F")</f>
        <v>F</v>
      </c>
      <c r="F2026" s="189" t="str">
        <f ca="1">IFERROR(__xludf.DUMMYFUNCTION("""COMPUTED_VALUE"""),"J")</f>
        <v>J</v>
      </c>
      <c r="G2026" s="189">
        <f ca="1">IFERROR(__xludf.DUMMYFUNCTION("""COMPUTED_VALUE"""),4)</f>
        <v>4</v>
      </c>
      <c r="H2026" s="196"/>
      <c r="I2026" s="196"/>
      <c r="J2026" s="196"/>
      <c r="K2026" s="196"/>
      <c r="L2026" s="196" t="str">
        <v/>
      </c>
      <c r="M2026" s="196"/>
    </row>
    <row r="2027" spans="1:13" ht="14.4" x14ac:dyDescent="0.3">
      <c r="A2027" s="189" t="str">
        <f ca="1">IFERROR(__xludf.DUMMYFUNCTION("""COMPUTED_VALUE"""),"THA")</f>
        <v>THA</v>
      </c>
      <c r="B2027" s="197" t="str">
        <f ca="1">IFERROR(__xludf.DUMMYFUNCTION("""COMPUTED_VALUE"""),"Ender Skelton")</f>
        <v>Ender Skelton</v>
      </c>
      <c r="C2027" s="189">
        <f ca="1">IFERROR(__xludf.DUMMYFUNCTION("""COMPUTED_VALUE"""),9)</f>
        <v>9</v>
      </c>
      <c r="D2027" s="189" t="str">
        <f ca="1">IFERROR(__xludf.DUMMYFUNCTION("""COMPUTED_VALUE"""),"B")</f>
        <v>B</v>
      </c>
      <c r="E2027" s="189" t="str">
        <f ca="1">IFERROR(__xludf.DUMMYFUNCTION("""COMPUTED_VALUE"""),"F")</f>
        <v>F</v>
      </c>
      <c r="F2027" s="189" t="str">
        <f ca="1">IFERROR(__xludf.DUMMYFUNCTION("""COMPUTED_VALUE"""),"J")</f>
        <v>J</v>
      </c>
      <c r="G2027" s="189">
        <f ca="1">IFERROR(__xludf.DUMMYFUNCTION("""COMPUTED_VALUE"""),4)</f>
        <v>4</v>
      </c>
      <c r="H2027" s="196"/>
      <c r="I2027" s="196"/>
      <c r="J2027" s="196"/>
      <c r="K2027" s="196"/>
      <c r="L2027" s="196" t="str">
        <v/>
      </c>
      <c r="M2027" s="196"/>
    </row>
    <row r="2028" spans="1:13" ht="14.4" x14ac:dyDescent="0.3">
      <c r="A2028" s="189" t="str">
        <f ca="1">IFERROR(__xludf.DUMMYFUNCTION("""COMPUTED_VALUE"""),"THA")</f>
        <v>THA</v>
      </c>
      <c r="B2028" s="197" t="str">
        <f ca="1">IFERROR(__xludf.DUMMYFUNCTION("""COMPUTED_VALUE"""),"Oliver Long")</f>
        <v>Oliver Long</v>
      </c>
      <c r="C2028" s="189">
        <f ca="1">IFERROR(__xludf.DUMMYFUNCTION("""COMPUTED_VALUE"""),9)</f>
        <v>9</v>
      </c>
      <c r="D2028" s="189" t="str">
        <f ca="1">IFERROR(__xludf.DUMMYFUNCTION("""COMPUTED_VALUE"""),"B")</f>
        <v>B</v>
      </c>
      <c r="E2028" s="189" t="str">
        <f ca="1">IFERROR(__xludf.DUMMYFUNCTION("""COMPUTED_VALUE"""),"F")</f>
        <v>F</v>
      </c>
      <c r="F2028" s="189" t="str">
        <f ca="1">IFERROR(__xludf.DUMMYFUNCTION("""COMPUTED_VALUE"""),"J")</f>
        <v>J</v>
      </c>
      <c r="G2028" s="189">
        <f ca="1">IFERROR(__xludf.DUMMYFUNCTION("""COMPUTED_VALUE"""),4)</f>
        <v>4</v>
      </c>
      <c r="H2028" s="196"/>
      <c r="I2028" s="196"/>
      <c r="J2028" s="196"/>
      <c r="K2028" s="196"/>
      <c r="L2028" s="196" t="str">
        <v/>
      </c>
      <c r="M2028" s="196"/>
    </row>
    <row r="2029" spans="1:13" ht="14.4" x14ac:dyDescent="0.3">
      <c r="A2029" s="189" t="str">
        <f ca="1">IFERROR(__xludf.DUMMYFUNCTION("""COMPUTED_VALUE"""),"THA")</f>
        <v>THA</v>
      </c>
      <c r="B2029" s="197" t="str">
        <f ca="1">IFERROR(__xludf.DUMMYFUNCTION("""COMPUTED_VALUE"""),"Oscar Turatbekov")</f>
        <v>Oscar Turatbekov</v>
      </c>
      <c r="C2029" s="189">
        <f ca="1">IFERROR(__xludf.DUMMYFUNCTION("""COMPUTED_VALUE"""),7)</f>
        <v>7</v>
      </c>
      <c r="D2029" s="189" t="str">
        <f ca="1">IFERROR(__xludf.DUMMYFUNCTION("""COMPUTED_VALUE"""),"B")</f>
        <v>B</v>
      </c>
      <c r="E2029" s="189" t="str">
        <f ca="1">IFERROR(__xludf.DUMMYFUNCTION("""COMPUTED_VALUE"""),"F")</f>
        <v>F</v>
      </c>
      <c r="F2029" s="189" t="str">
        <f ca="1">IFERROR(__xludf.DUMMYFUNCTION("""COMPUTED_VALUE"""),"J")</f>
        <v>J</v>
      </c>
      <c r="G2029" s="189">
        <f ca="1">IFERROR(__xludf.DUMMYFUNCTION("""COMPUTED_VALUE"""),4)</f>
        <v>4</v>
      </c>
      <c r="H2029" s="196"/>
      <c r="I2029" s="196"/>
      <c r="J2029" s="196"/>
      <c r="K2029" s="196"/>
      <c r="L2029" s="196" t="str">
        <v/>
      </c>
      <c r="M2029" s="196"/>
    </row>
    <row r="2030" spans="1:13" ht="14.4" x14ac:dyDescent="0.3">
      <c r="A2030" s="189" t="str">
        <f ca="1">IFERROR(__xludf.DUMMYFUNCTION("""COMPUTED_VALUE"""),"THA")</f>
        <v>THA</v>
      </c>
      <c r="B2030" s="197" t="str">
        <f ca="1">IFERROR(__xludf.DUMMYFUNCTION("""COMPUTED_VALUE"""),"Owen Herbert")</f>
        <v>Owen Herbert</v>
      </c>
      <c r="C2030" s="189">
        <f ca="1">IFERROR(__xludf.DUMMYFUNCTION("""COMPUTED_VALUE"""),8)</f>
        <v>8</v>
      </c>
      <c r="D2030" s="189" t="str">
        <f ca="1">IFERROR(__xludf.DUMMYFUNCTION("""COMPUTED_VALUE"""),"B")</f>
        <v>B</v>
      </c>
      <c r="E2030" s="189" t="str">
        <f ca="1">IFERROR(__xludf.DUMMYFUNCTION("""COMPUTED_VALUE"""),"F")</f>
        <v>F</v>
      </c>
      <c r="F2030" s="189" t="str">
        <f ca="1">IFERROR(__xludf.DUMMYFUNCTION("""COMPUTED_VALUE"""),"J")</f>
        <v>J</v>
      </c>
      <c r="G2030" s="189">
        <f ca="1">IFERROR(__xludf.DUMMYFUNCTION("""COMPUTED_VALUE"""),4)</f>
        <v>4</v>
      </c>
      <c r="H2030" s="196"/>
      <c r="I2030" s="196"/>
      <c r="J2030" s="196"/>
      <c r="K2030" s="196"/>
      <c r="L2030" s="196" t="str">
        <v/>
      </c>
      <c r="M2030" s="196"/>
    </row>
    <row r="2031" spans="1:13" ht="14.4" x14ac:dyDescent="0.3">
      <c r="A2031" s="189" t="str">
        <f ca="1">IFERROR(__xludf.DUMMYFUNCTION("""COMPUTED_VALUE"""),"THA")</f>
        <v>THA</v>
      </c>
      <c r="B2031" s="197" t="str">
        <f ca="1">IFERROR(__xludf.DUMMYFUNCTION("""COMPUTED_VALUE"""),"Shayan Dalilaltojari")</f>
        <v>Shayan Dalilaltojari</v>
      </c>
      <c r="C2031" s="189">
        <f ca="1">IFERROR(__xludf.DUMMYFUNCTION("""COMPUTED_VALUE"""),6)</f>
        <v>6</v>
      </c>
      <c r="D2031" s="189" t="str">
        <f ca="1">IFERROR(__xludf.DUMMYFUNCTION("""COMPUTED_VALUE"""),"B")</f>
        <v>B</v>
      </c>
      <c r="E2031" s="189" t="str">
        <f ca="1">IFERROR(__xludf.DUMMYFUNCTION("""COMPUTED_VALUE"""),"F")</f>
        <v>F</v>
      </c>
      <c r="F2031" s="189" t="str">
        <f ca="1">IFERROR(__xludf.DUMMYFUNCTION("""COMPUTED_VALUE"""),"J")</f>
        <v>J</v>
      </c>
      <c r="G2031" s="189">
        <f ca="1">IFERROR(__xludf.DUMMYFUNCTION("""COMPUTED_VALUE"""),4)</f>
        <v>4</v>
      </c>
      <c r="H2031" s="196"/>
      <c r="I2031" s="196"/>
      <c r="J2031" s="196"/>
      <c r="K2031" s="196"/>
      <c r="L2031" s="196" t="str">
        <v/>
      </c>
      <c r="M2031" s="196"/>
    </row>
    <row r="2032" spans="1:13" ht="14.4" x14ac:dyDescent="0.3">
      <c r="A2032" s="189" t="str">
        <f ca="1">IFERROR(__xludf.DUMMYFUNCTION("""COMPUTED_VALUE"""),"THA")</f>
        <v>THA</v>
      </c>
      <c r="B2032" s="197" t="str">
        <f ca="1">IFERROR(__xludf.DUMMYFUNCTION("""COMPUTED_VALUE"""),"Ainslee Girard")</f>
        <v>Ainslee Girard</v>
      </c>
      <c r="C2032" s="189">
        <f ca="1">IFERROR(__xludf.DUMMYFUNCTION("""COMPUTED_VALUE"""),13)</f>
        <v>13</v>
      </c>
      <c r="D2032" s="189" t="str">
        <f ca="1">IFERROR(__xludf.DUMMYFUNCTION("""COMPUTED_VALUE"""),"G")</f>
        <v>G</v>
      </c>
      <c r="E2032" s="189" t="str">
        <f ca="1">IFERROR(__xludf.DUMMYFUNCTION("""COMPUTED_VALUE"""),"I")</f>
        <v>I</v>
      </c>
      <c r="F2032" s="189" t="str">
        <f ca="1">IFERROR(__xludf.DUMMYFUNCTION("""COMPUTED_VALUE"""),"S")</f>
        <v>S</v>
      </c>
      <c r="G2032" s="189">
        <f ca="1">IFERROR(__xludf.DUMMYFUNCTION("""COMPUTED_VALUE"""),4)</f>
        <v>4</v>
      </c>
      <c r="H2032" s="196" t="s">
        <v>81</v>
      </c>
      <c r="I2032" s="196"/>
      <c r="J2032" s="196" t="s">
        <v>29</v>
      </c>
      <c r="K2032" s="196"/>
      <c r="L2032" s="196" t="str">
        <v xml:space="preserve"> 93.35</v>
      </c>
      <c r="M2032" s="196"/>
    </row>
    <row r="2033" spans="1:13" ht="14.4" x14ac:dyDescent="0.3">
      <c r="A2033" s="189" t="str">
        <f ca="1">IFERROR(__xludf.DUMMYFUNCTION("""COMPUTED_VALUE"""),"THA")</f>
        <v>THA</v>
      </c>
      <c r="B2033" s="197" t="str">
        <f ca="1">IFERROR(__xludf.DUMMYFUNCTION("""COMPUTED_VALUE"""),"Jasper Eng")</f>
        <v>Jasper Eng</v>
      </c>
      <c r="C2033" s="189">
        <f ca="1">IFERROR(__xludf.DUMMYFUNCTION("""COMPUTED_VALUE"""),13)</f>
        <v>13</v>
      </c>
      <c r="D2033" s="189" t="str">
        <f ca="1">IFERROR(__xludf.DUMMYFUNCTION("""COMPUTED_VALUE"""),"B")</f>
        <v>B</v>
      </c>
      <c r="E2033" s="189" t="str">
        <f ca="1">IFERROR(__xludf.DUMMYFUNCTION("""COMPUTED_VALUE"""),"I")</f>
        <v>I</v>
      </c>
      <c r="F2033" s="189" t="str">
        <f ca="1">IFERROR(__xludf.DUMMYFUNCTION("""COMPUTED_VALUE"""),"S")</f>
        <v>S</v>
      </c>
      <c r="G2033" s="189">
        <f ca="1">IFERROR(__xludf.DUMMYFUNCTION("""COMPUTED_VALUE"""),4)</f>
        <v>4</v>
      </c>
      <c r="H2033" s="196" t="s">
        <v>800</v>
      </c>
      <c r="I2033" s="196"/>
      <c r="J2033" s="196" t="s">
        <v>29</v>
      </c>
      <c r="K2033" s="196"/>
      <c r="L2033" s="196" t="str">
        <v xml:space="preserve"> 128.00</v>
      </c>
      <c r="M2033" s="196"/>
    </row>
    <row r="2034" spans="1:13" ht="14.4" x14ac:dyDescent="0.3">
      <c r="A2034" s="189" t="str">
        <f ca="1">IFERROR(__xludf.DUMMYFUNCTION("""COMPUTED_VALUE"""),"THA")</f>
        <v>THA</v>
      </c>
      <c r="B2034" s="197" t="str">
        <f ca="1">IFERROR(__xludf.DUMMYFUNCTION("""COMPUTED_VALUE"""),"Madison Worthington")</f>
        <v>Madison Worthington</v>
      </c>
      <c r="C2034" s="189">
        <f ca="1">IFERROR(__xludf.DUMMYFUNCTION("""COMPUTED_VALUE"""),14)</f>
        <v>14</v>
      </c>
      <c r="D2034" s="189" t="str">
        <f ca="1">IFERROR(__xludf.DUMMYFUNCTION("""COMPUTED_VALUE"""),"B")</f>
        <v>B</v>
      </c>
      <c r="E2034" s="189" t="str">
        <f ca="1">IFERROR(__xludf.DUMMYFUNCTION("""COMPUTED_VALUE"""),"I")</f>
        <v>I</v>
      </c>
      <c r="F2034" s="189" t="str">
        <f ca="1">IFERROR(__xludf.DUMMYFUNCTION("""COMPUTED_VALUE"""),"S")</f>
        <v>S</v>
      </c>
      <c r="G2034" s="189">
        <f ca="1">IFERROR(__xludf.DUMMYFUNCTION("""COMPUTED_VALUE"""),4)</f>
        <v>4</v>
      </c>
      <c r="H2034" s="196"/>
      <c r="I2034" s="196"/>
      <c r="J2034" s="196"/>
      <c r="K2034" s="196"/>
      <c r="L2034" s="196" t="str">
        <v/>
      </c>
      <c r="M2034" s="196"/>
    </row>
    <row r="2035" spans="1:13" ht="14.4" x14ac:dyDescent="0.3">
      <c r="A2035" s="189" t="str">
        <f ca="1">IFERROR(__xludf.DUMMYFUNCTION("""COMPUTED_VALUE"""),"THA")</f>
        <v>THA</v>
      </c>
      <c r="B2035" s="197" t="str">
        <f ca="1">IFERROR(__xludf.DUMMYFUNCTION("""COMPUTED_VALUE"""),"Peter Lucado")</f>
        <v>Peter Lucado</v>
      </c>
      <c r="C2035" s="189">
        <f ca="1">IFERROR(__xludf.DUMMYFUNCTION("""COMPUTED_VALUE"""),13)</f>
        <v>13</v>
      </c>
      <c r="D2035" s="189" t="str">
        <f ca="1">IFERROR(__xludf.DUMMYFUNCTION("""COMPUTED_VALUE"""),"B")</f>
        <v>B</v>
      </c>
      <c r="E2035" s="189" t="str">
        <f ca="1">IFERROR(__xludf.DUMMYFUNCTION("""COMPUTED_VALUE"""),"I")</f>
        <v>I</v>
      </c>
      <c r="F2035" s="189" t="str">
        <f ca="1">IFERROR(__xludf.DUMMYFUNCTION("""COMPUTED_VALUE"""),"S")</f>
        <v>S</v>
      </c>
      <c r="G2035" s="189">
        <f ca="1">IFERROR(__xludf.DUMMYFUNCTION("""COMPUTED_VALUE"""),4)</f>
        <v>4</v>
      </c>
      <c r="H2035" s="196" t="s">
        <v>801</v>
      </c>
      <c r="I2035" s="196"/>
      <c r="J2035" s="196" t="s">
        <v>29</v>
      </c>
      <c r="K2035" s="196"/>
      <c r="L2035" s="196" t="str">
        <v xml:space="preserve"> 123.85</v>
      </c>
      <c r="M2035" s="196"/>
    </row>
    <row r="2036" spans="1:13" ht="14.4" x14ac:dyDescent="0.3">
      <c r="A2036" s="189" t="str">
        <f ca="1">IFERROR(__xludf.DUMMYFUNCTION("""COMPUTED_VALUE"""),"THA")</f>
        <v>THA</v>
      </c>
      <c r="B2036" s="197" t="str">
        <f ca="1">IFERROR(__xludf.DUMMYFUNCTION("""COMPUTED_VALUE"""),"Cameron Pitera")</f>
        <v>Cameron Pitera</v>
      </c>
      <c r="C2036" s="189">
        <f ca="1">IFERROR(__xludf.DUMMYFUNCTION("""COMPUTED_VALUE"""),11)</f>
        <v>11</v>
      </c>
      <c r="D2036" s="189" t="str">
        <f ca="1">IFERROR(__xludf.DUMMYFUNCTION("""COMPUTED_VALUE"""),"B")</f>
        <v>B</v>
      </c>
      <c r="E2036" s="189" t="str">
        <f ca="1">IFERROR(__xludf.DUMMYFUNCTION("""COMPUTED_VALUE"""),"J")</f>
        <v>J</v>
      </c>
      <c r="F2036" s="189" t="str">
        <f ca="1">IFERROR(__xludf.DUMMYFUNCTION("""COMPUTED_VALUE"""),"I")</f>
        <v>I</v>
      </c>
      <c r="G2036" s="189">
        <f ca="1">IFERROR(__xludf.DUMMYFUNCTION("""COMPUTED_VALUE"""),4)</f>
        <v>4</v>
      </c>
      <c r="H2036" s="196"/>
      <c r="I2036" s="196"/>
      <c r="J2036" s="196"/>
      <c r="K2036" s="196"/>
      <c r="L2036" s="196" t="str">
        <v/>
      </c>
      <c r="M2036" s="196"/>
    </row>
    <row r="2037" spans="1:13" ht="14.4" x14ac:dyDescent="0.3">
      <c r="A2037" s="189" t="str">
        <f ca="1">IFERROR(__xludf.DUMMYFUNCTION("""COMPUTED_VALUE"""),"THA")</f>
        <v>THA</v>
      </c>
      <c r="B2037" s="197" t="str">
        <f ca="1">IFERROR(__xludf.DUMMYFUNCTION("""COMPUTED_VALUE"""),"Ewan Girard")</f>
        <v>Ewan Girard</v>
      </c>
      <c r="C2037" s="189">
        <f ca="1">IFERROR(__xludf.DUMMYFUNCTION("""COMPUTED_VALUE"""),11)</f>
        <v>11</v>
      </c>
      <c r="D2037" s="189" t="str">
        <f ca="1">IFERROR(__xludf.DUMMYFUNCTION("""COMPUTED_VALUE"""),"B")</f>
        <v>B</v>
      </c>
      <c r="E2037" s="189" t="str">
        <f ca="1">IFERROR(__xludf.DUMMYFUNCTION("""COMPUTED_VALUE"""),"J")</f>
        <v>J</v>
      </c>
      <c r="F2037" s="189" t="str">
        <f ca="1">IFERROR(__xludf.DUMMYFUNCTION("""COMPUTED_VALUE"""),"I")</f>
        <v>I</v>
      </c>
      <c r="G2037" s="189">
        <f ca="1">IFERROR(__xludf.DUMMYFUNCTION("""COMPUTED_VALUE"""),4)</f>
        <v>4</v>
      </c>
      <c r="H2037" s="196" t="s">
        <v>802</v>
      </c>
      <c r="I2037" s="196"/>
      <c r="J2037" s="196" t="s">
        <v>29</v>
      </c>
      <c r="K2037" s="196"/>
      <c r="L2037" s="196" t="str">
        <v xml:space="preserve"> 89.10</v>
      </c>
      <c r="M2037" s="196"/>
    </row>
    <row r="2038" spans="1:13" ht="14.4" x14ac:dyDescent="0.3">
      <c r="A2038" s="189" t="str">
        <f ca="1">IFERROR(__xludf.DUMMYFUNCTION("""COMPUTED_VALUE"""),"THA")</f>
        <v>THA</v>
      </c>
      <c r="B2038" s="197" t="str">
        <f ca="1">IFERROR(__xludf.DUMMYFUNCTION("""COMPUTED_VALUE"""),"Ian Long")</f>
        <v>Ian Long</v>
      </c>
      <c r="C2038" s="189">
        <f ca="1">IFERROR(__xludf.DUMMYFUNCTION("""COMPUTED_VALUE"""),11)</f>
        <v>11</v>
      </c>
      <c r="D2038" s="189" t="str">
        <f ca="1">IFERROR(__xludf.DUMMYFUNCTION("""COMPUTED_VALUE"""),"B")</f>
        <v>B</v>
      </c>
      <c r="E2038" s="189" t="str">
        <f ca="1">IFERROR(__xludf.DUMMYFUNCTION("""COMPUTED_VALUE"""),"J")</f>
        <v>J</v>
      </c>
      <c r="F2038" s="189" t="str">
        <f ca="1">IFERROR(__xludf.DUMMYFUNCTION("""COMPUTED_VALUE"""),"I")</f>
        <v>I</v>
      </c>
      <c r="G2038" s="189">
        <f ca="1">IFERROR(__xludf.DUMMYFUNCTION("""COMPUTED_VALUE"""),4)</f>
        <v>4</v>
      </c>
      <c r="H2038" s="196"/>
      <c r="I2038" s="196"/>
      <c r="J2038" s="196"/>
      <c r="K2038" s="196"/>
      <c r="L2038" s="196" t="str">
        <v/>
      </c>
      <c r="M2038" s="196"/>
    </row>
    <row r="2039" spans="1:13" ht="14.4" x14ac:dyDescent="0.3">
      <c r="A2039" s="189" t="str">
        <f ca="1">IFERROR(__xludf.DUMMYFUNCTION("""COMPUTED_VALUE"""),"THA")</f>
        <v>THA</v>
      </c>
      <c r="B2039" s="197" t="str">
        <f ca="1">IFERROR(__xludf.DUMMYFUNCTION("""COMPUTED_VALUE"""),"Luke Kieffer")</f>
        <v>Luke Kieffer</v>
      </c>
      <c r="C2039" s="189">
        <f ca="1">IFERROR(__xludf.DUMMYFUNCTION("""COMPUTED_VALUE"""),11)</f>
        <v>11</v>
      </c>
      <c r="D2039" s="189" t="str">
        <f ca="1">IFERROR(__xludf.DUMMYFUNCTION("""COMPUTED_VALUE"""),"B")</f>
        <v>B</v>
      </c>
      <c r="E2039" s="189" t="str">
        <f ca="1">IFERROR(__xludf.DUMMYFUNCTION("""COMPUTED_VALUE"""),"J")</f>
        <v>J</v>
      </c>
      <c r="F2039" s="189" t="str">
        <f ca="1">IFERROR(__xludf.DUMMYFUNCTION("""COMPUTED_VALUE"""),"I")</f>
        <v>I</v>
      </c>
      <c r="G2039" s="189">
        <f ca="1">IFERROR(__xludf.DUMMYFUNCTION("""COMPUTED_VALUE"""),4)</f>
        <v>4</v>
      </c>
      <c r="H2039" s="196" t="s">
        <v>236</v>
      </c>
      <c r="I2039" s="196"/>
      <c r="J2039" s="196" t="s">
        <v>29</v>
      </c>
      <c r="K2039" s="196"/>
      <c r="L2039" s="196" t="str">
        <v xml:space="preserve"> 92.60</v>
      </c>
      <c r="M2039" s="196"/>
    </row>
    <row r="2040" spans="1:13" ht="14.4" x14ac:dyDescent="0.3">
      <c r="A2040" s="189" t="str">
        <f ca="1">IFERROR(__xludf.DUMMYFUNCTION("""COMPUTED_VALUE"""),"THA")</f>
        <v>THA</v>
      </c>
      <c r="B2040" s="197" t="str">
        <f ca="1">IFERROR(__xludf.DUMMYFUNCTION("""COMPUTED_VALUE"""),"Celeste Lucado")</f>
        <v>Celeste Lucado</v>
      </c>
      <c r="C2040" s="189">
        <f ca="1">IFERROR(__xludf.DUMMYFUNCTION("""COMPUTED_VALUE"""),15)</f>
        <v>15</v>
      </c>
      <c r="D2040" s="189" t="str">
        <f ca="1">IFERROR(__xludf.DUMMYFUNCTION("""COMPUTED_VALUE"""),"G")</f>
        <v>G</v>
      </c>
      <c r="E2040" s="189" t="str">
        <f ca="1">IFERROR(__xludf.DUMMYFUNCTION("""COMPUTED_VALUE"""),"S")</f>
        <v>S</v>
      </c>
      <c r="F2040" s="189" t="str">
        <f ca="1">IFERROR(__xludf.DUMMYFUNCTION("""COMPUTED_VALUE"""),"S")</f>
        <v>S</v>
      </c>
      <c r="G2040" s="189">
        <f ca="1">IFERROR(__xludf.DUMMYFUNCTION("""COMPUTED_VALUE"""),4)</f>
        <v>4</v>
      </c>
      <c r="H2040" s="196" t="s">
        <v>803</v>
      </c>
      <c r="I2040" s="196"/>
      <c r="J2040" s="196" t="s">
        <v>29</v>
      </c>
      <c r="K2040" s="196"/>
      <c r="L2040" s="196" t="str">
        <v xml:space="preserve"> 123.50</v>
      </c>
      <c r="M2040" s="196"/>
    </row>
    <row r="2041" spans="1:13" ht="14.4" x14ac:dyDescent="0.3">
      <c r="A2041" s="189" t="str">
        <f ca="1">IFERROR(__xludf.DUMMYFUNCTION("""COMPUTED_VALUE"""),"THA")</f>
        <v>THA</v>
      </c>
      <c r="B2041" s="197" t="str">
        <f ca="1">IFERROR(__xludf.DUMMYFUNCTION("""COMPUTED_VALUE"""),"Batyr Turatbekov")</f>
        <v>Batyr Turatbekov</v>
      </c>
      <c r="C2041" s="189">
        <f ca="1">IFERROR(__xludf.DUMMYFUNCTION("""COMPUTED_VALUE"""),18)</f>
        <v>18</v>
      </c>
      <c r="D2041" s="189" t="str">
        <f ca="1">IFERROR(__xludf.DUMMYFUNCTION("""COMPUTED_VALUE"""),"B")</f>
        <v>B</v>
      </c>
      <c r="E2041" s="189" t="str">
        <f ca="1">IFERROR(__xludf.DUMMYFUNCTION("""COMPUTED_VALUE"""),"S")</f>
        <v>S</v>
      </c>
      <c r="F2041" s="189" t="str">
        <f ca="1">IFERROR(__xludf.DUMMYFUNCTION("""COMPUTED_VALUE"""),"S")</f>
        <v>S</v>
      </c>
      <c r="G2041" s="189">
        <f ca="1">IFERROR(__xludf.DUMMYFUNCTION("""COMPUTED_VALUE"""),4)</f>
        <v>4</v>
      </c>
      <c r="H2041" s="196" t="s">
        <v>804</v>
      </c>
      <c r="I2041" s="196"/>
      <c r="J2041" s="196" t="s">
        <v>29</v>
      </c>
      <c r="K2041" s="196"/>
      <c r="L2041" s="196" t="str">
        <v xml:space="preserve"> 168.35</v>
      </c>
      <c r="M2041" s="196"/>
    </row>
    <row r="2042" spans="1:13" ht="14.4" x14ac:dyDescent="0.3">
      <c r="A2042" s="189" t="str">
        <f ca="1">IFERROR(__xludf.DUMMYFUNCTION("""COMPUTED_VALUE"""),"VW")</f>
        <v>VW</v>
      </c>
      <c r="B2042" s="197" t="str">
        <f ca="1">IFERROR(__xludf.DUMMYFUNCTION("""COMPUTED_VALUE"""),"Aliza Cohen")</f>
        <v>Aliza Cohen</v>
      </c>
      <c r="C2042" s="189">
        <f ca="1">IFERROR(__xludf.DUMMYFUNCTION("""COMPUTED_VALUE"""),9)</f>
        <v>9</v>
      </c>
      <c r="D2042" s="189" t="str">
        <f ca="1">IFERROR(__xludf.DUMMYFUNCTION("""COMPUTED_VALUE"""),"G")</f>
        <v>G</v>
      </c>
      <c r="E2042" s="189" t="str">
        <f ca="1">IFERROR(__xludf.DUMMYFUNCTION("""COMPUTED_VALUE"""),"F")</f>
        <v>F</v>
      </c>
      <c r="F2042" s="189" t="str">
        <f ca="1">IFERROR(__xludf.DUMMYFUNCTION("""COMPUTED_VALUE"""),"J")</f>
        <v>J</v>
      </c>
      <c r="G2042" s="189">
        <f ca="1">IFERROR(__xludf.DUMMYFUNCTION("""COMPUTED_VALUE"""),1)</f>
        <v>1</v>
      </c>
      <c r="H2042" s="196"/>
      <c r="I2042" s="196"/>
      <c r="J2042" s="196"/>
      <c r="K2042" s="196"/>
      <c r="L2042" s="196" t="str">
        <v/>
      </c>
      <c r="M2042" s="196"/>
    </row>
    <row r="2043" spans="1:13" ht="14.4" x14ac:dyDescent="0.3">
      <c r="A2043" s="189" t="str">
        <f ca="1">IFERROR(__xludf.DUMMYFUNCTION("""COMPUTED_VALUE"""),"VW")</f>
        <v>VW</v>
      </c>
      <c r="B2043" s="197" t="str">
        <f ca="1">IFERROR(__xludf.DUMMYFUNCTION("""COMPUTED_VALUE"""),"Camilla Kettig")</f>
        <v>Camilla Kettig</v>
      </c>
      <c r="C2043" s="189">
        <f ca="1">IFERROR(__xludf.DUMMYFUNCTION("""COMPUTED_VALUE"""),7)</f>
        <v>7</v>
      </c>
      <c r="D2043" s="189" t="str">
        <f ca="1">IFERROR(__xludf.DUMMYFUNCTION("""COMPUTED_VALUE"""),"G")</f>
        <v>G</v>
      </c>
      <c r="E2043" s="189" t="str">
        <f ca="1">IFERROR(__xludf.DUMMYFUNCTION("""COMPUTED_VALUE"""),"F")</f>
        <v>F</v>
      </c>
      <c r="F2043" s="189" t="str">
        <f ca="1">IFERROR(__xludf.DUMMYFUNCTION("""COMPUTED_VALUE"""),"J")</f>
        <v>J</v>
      </c>
      <c r="G2043" s="189">
        <f ca="1">IFERROR(__xludf.DUMMYFUNCTION("""COMPUTED_VALUE"""),1)</f>
        <v>1</v>
      </c>
      <c r="H2043" s="196"/>
      <c r="I2043" s="196"/>
      <c r="J2043" s="196"/>
      <c r="K2043" s="196"/>
      <c r="L2043" s="196" t="str">
        <v/>
      </c>
      <c r="M2043" s="196"/>
    </row>
    <row r="2044" spans="1:13" ht="14.4" x14ac:dyDescent="0.3">
      <c r="A2044" s="189" t="str">
        <f ca="1">IFERROR(__xludf.DUMMYFUNCTION("""COMPUTED_VALUE"""),"VW")</f>
        <v>VW</v>
      </c>
      <c r="B2044" s="197" t="str">
        <f ca="1">IFERROR(__xludf.DUMMYFUNCTION("""COMPUTED_VALUE"""),"Charlotte Pechulis")</f>
        <v>Charlotte Pechulis</v>
      </c>
      <c r="C2044" s="189">
        <f ca="1">IFERROR(__xludf.DUMMYFUNCTION("""COMPUTED_VALUE"""),8)</f>
        <v>8</v>
      </c>
      <c r="D2044" s="189" t="str">
        <f ca="1">IFERROR(__xludf.DUMMYFUNCTION("""COMPUTED_VALUE"""),"G")</f>
        <v>G</v>
      </c>
      <c r="E2044" s="189" t="str">
        <f ca="1">IFERROR(__xludf.DUMMYFUNCTION("""COMPUTED_VALUE"""),"F")</f>
        <v>F</v>
      </c>
      <c r="F2044" s="189" t="str">
        <f ca="1">IFERROR(__xludf.DUMMYFUNCTION("""COMPUTED_VALUE"""),"J")</f>
        <v>J</v>
      </c>
      <c r="G2044" s="189">
        <f ca="1">IFERROR(__xludf.DUMMYFUNCTION("""COMPUTED_VALUE"""),1)</f>
        <v>1</v>
      </c>
      <c r="H2044" s="196"/>
      <c r="I2044" s="196"/>
      <c r="J2044" s="196"/>
      <c r="K2044" s="196"/>
      <c r="L2044" s="196" t="str">
        <v/>
      </c>
      <c r="M2044" s="196"/>
    </row>
    <row r="2045" spans="1:13" ht="14.4" x14ac:dyDescent="0.3">
      <c r="A2045" s="189" t="str">
        <f ca="1">IFERROR(__xludf.DUMMYFUNCTION("""COMPUTED_VALUE"""),"VW")</f>
        <v>VW</v>
      </c>
      <c r="B2045" s="197" t="str">
        <f ca="1">IFERROR(__xludf.DUMMYFUNCTION("""COMPUTED_VALUE"""),"Hana LaCroix")</f>
        <v>Hana LaCroix</v>
      </c>
      <c r="C2045" s="189">
        <f ca="1">IFERROR(__xludf.DUMMYFUNCTION("""COMPUTED_VALUE"""),9)</f>
        <v>9</v>
      </c>
      <c r="D2045" s="189" t="str">
        <f ca="1">IFERROR(__xludf.DUMMYFUNCTION("""COMPUTED_VALUE"""),"G")</f>
        <v>G</v>
      </c>
      <c r="E2045" s="189" t="str">
        <f ca="1">IFERROR(__xludf.DUMMYFUNCTION("""COMPUTED_VALUE"""),"F")</f>
        <v>F</v>
      </c>
      <c r="F2045" s="189" t="str">
        <f ca="1">IFERROR(__xludf.DUMMYFUNCTION("""COMPUTED_VALUE"""),"J")</f>
        <v>J</v>
      </c>
      <c r="G2045" s="189">
        <f ca="1">IFERROR(__xludf.DUMMYFUNCTION("""COMPUTED_VALUE"""),1)</f>
        <v>1</v>
      </c>
      <c r="H2045" s="196"/>
      <c r="I2045" s="196"/>
      <c r="J2045" s="196"/>
      <c r="K2045" s="196"/>
      <c r="L2045" s="196" t="str">
        <v/>
      </c>
      <c r="M2045" s="196"/>
    </row>
    <row r="2046" spans="1:13" ht="14.4" x14ac:dyDescent="0.3">
      <c r="A2046" s="189" t="str">
        <f ca="1">IFERROR(__xludf.DUMMYFUNCTION("""COMPUTED_VALUE"""),"VW")</f>
        <v>VW</v>
      </c>
      <c r="B2046" s="197" t="str">
        <f ca="1">IFERROR(__xludf.DUMMYFUNCTION("""COMPUTED_VALUE"""),"Isabelle Willett")</f>
        <v>Isabelle Willett</v>
      </c>
      <c r="C2046" s="189">
        <f ca="1">IFERROR(__xludf.DUMMYFUNCTION("""COMPUTED_VALUE"""),9)</f>
        <v>9</v>
      </c>
      <c r="D2046" s="189" t="str">
        <f ca="1">IFERROR(__xludf.DUMMYFUNCTION("""COMPUTED_VALUE"""),"G")</f>
        <v>G</v>
      </c>
      <c r="E2046" s="189" t="str">
        <f ca="1">IFERROR(__xludf.DUMMYFUNCTION("""COMPUTED_VALUE"""),"F")</f>
        <v>F</v>
      </c>
      <c r="F2046" s="189" t="str">
        <f ca="1">IFERROR(__xludf.DUMMYFUNCTION("""COMPUTED_VALUE"""),"J")</f>
        <v>J</v>
      </c>
      <c r="G2046" s="189">
        <f ca="1">IFERROR(__xludf.DUMMYFUNCTION("""COMPUTED_VALUE"""),1)</f>
        <v>1</v>
      </c>
      <c r="H2046" s="196"/>
      <c r="I2046" s="196"/>
      <c r="J2046" s="196"/>
      <c r="K2046" s="196"/>
      <c r="L2046" s="196" t="str">
        <v/>
      </c>
      <c r="M2046" s="196"/>
    </row>
    <row r="2047" spans="1:13" ht="14.4" x14ac:dyDescent="0.3">
      <c r="A2047" s="189" t="str">
        <f ca="1">IFERROR(__xludf.DUMMYFUNCTION("""COMPUTED_VALUE"""),"VW")</f>
        <v>VW</v>
      </c>
      <c r="B2047" s="197" t="str">
        <f ca="1">IFERROR(__xludf.DUMMYFUNCTION("""COMPUTED_VALUE"""),"Joseph Deaton")</f>
        <v>Joseph Deaton</v>
      </c>
      <c r="C2047" s="189">
        <f ca="1">IFERROR(__xludf.DUMMYFUNCTION("""COMPUTED_VALUE"""),10)</f>
        <v>10</v>
      </c>
      <c r="D2047" s="189" t="str">
        <f ca="1">IFERROR(__xludf.DUMMYFUNCTION("""COMPUTED_VALUE"""),"G")</f>
        <v>G</v>
      </c>
      <c r="E2047" s="189" t="str">
        <f ca="1">IFERROR(__xludf.DUMMYFUNCTION("""COMPUTED_VALUE"""),"F")</f>
        <v>F</v>
      </c>
      <c r="F2047" s="189" t="str">
        <f ca="1">IFERROR(__xludf.DUMMYFUNCTION("""COMPUTED_VALUE"""),"J")</f>
        <v>J</v>
      </c>
      <c r="G2047" s="189">
        <f ca="1">IFERROR(__xludf.DUMMYFUNCTION("""COMPUTED_VALUE"""),1)</f>
        <v>1</v>
      </c>
      <c r="H2047" s="196"/>
      <c r="I2047" s="196"/>
      <c r="J2047" s="196"/>
      <c r="K2047" s="196"/>
      <c r="L2047" s="196" t="str">
        <v/>
      </c>
      <c r="M2047" s="196"/>
    </row>
    <row r="2048" spans="1:13" ht="14.4" x14ac:dyDescent="0.3">
      <c r="A2048" s="189" t="str">
        <f ca="1">IFERROR(__xludf.DUMMYFUNCTION("""COMPUTED_VALUE"""),"VW")</f>
        <v>VW</v>
      </c>
      <c r="B2048" s="197" t="str">
        <f ca="1">IFERROR(__xludf.DUMMYFUNCTION("""COMPUTED_VALUE"""),"Kate Blinstrub")</f>
        <v>Kate Blinstrub</v>
      </c>
      <c r="C2048" s="189">
        <f ca="1">IFERROR(__xludf.DUMMYFUNCTION("""COMPUTED_VALUE"""),7)</f>
        <v>7</v>
      </c>
      <c r="D2048" s="189" t="str">
        <f ca="1">IFERROR(__xludf.DUMMYFUNCTION("""COMPUTED_VALUE"""),"G")</f>
        <v>G</v>
      </c>
      <c r="E2048" s="189" t="str">
        <f ca="1">IFERROR(__xludf.DUMMYFUNCTION("""COMPUTED_VALUE"""),"F")</f>
        <v>F</v>
      </c>
      <c r="F2048" s="189" t="str">
        <f ca="1">IFERROR(__xludf.DUMMYFUNCTION("""COMPUTED_VALUE"""),"J")</f>
        <v>J</v>
      </c>
      <c r="G2048" s="189">
        <f ca="1">IFERROR(__xludf.DUMMYFUNCTION("""COMPUTED_VALUE"""),1)</f>
        <v>1</v>
      </c>
      <c r="H2048" s="196"/>
      <c r="I2048" s="196"/>
      <c r="J2048" s="196"/>
      <c r="K2048" s="196"/>
      <c r="L2048" s="196" t="str">
        <v/>
      </c>
      <c r="M2048" s="196"/>
    </row>
    <row r="2049" spans="1:13" ht="14.4" x14ac:dyDescent="0.3">
      <c r="A2049" s="189" t="str">
        <f ca="1">IFERROR(__xludf.DUMMYFUNCTION("""COMPUTED_VALUE"""),"VW")</f>
        <v>VW</v>
      </c>
      <c r="B2049" s="197" t="str">
        <f ca="1">IFERROR(__xludf.DUMMYFUNCTION("""COMPUTED_VALUE"""),"Keira Chaney")</f>
        <v>Keira Chaney</v>
      </c>
      <c r="C2049" s="189">
        <f ca="1">IFERROR(__xludf.DUMMYFUNCTION("""COMPUTED_VALUE"""),9)</f>
        <v>9</v>
      </c>
      <c r="D2049" s="189" t="str">
        <f ca="1">IFERROR(__xludf.DUMMYFUNCTION("""COMPUTED_VALUE"""),"G")</f>
        <v>G</v>
      </c>
      <c r="E2049" s="189" t="str">
        <f ca="1">IFERROR(__xludf.DUMMYFUNCTION("""COMPUTED_VALUE"""),"F")</f>
        <v>F</v>
      </c>
      <c r="F2049" s="189" t="str">
        <f ca="1">IFERROR(__xludf.DUMMYFUNCTION("""COMPUTED_VALUE"""),"J")</f>
        <v>J</v>
      </c>
      <c r="G2049" s="189">
        <f ca="1">IFERROR(__xludf.DUMMYFUNCTION("""COMPUTED_VALUE"""),1)</f>
        <v>1</v>
      </c>
      <c r="H2049" s="196"/>
      <c r="I2049" s="196"/>
      <c r="J2049" s="196"/>
      <c r="K2049" s="196"/>
      <c r="L2049" s="196" t="str">
        <v/>
      </c>
      <c r="M2049" s="196"/>
    </row>
    <row r="2050" spans="1:13" ht="14.4" x14ac:dyDescent="0.3">
      <c r="A2050" s="189" t="str">
        <f ca="1">IFERROR(__xludf.DUMMYFUNCTION("""COMPUTED_VALUE"""),"VW")</f>
        <v>VW</v>
      </c>
      <c r="B2050" s="197" t="str">
        <f ca="1">IFERROR(__xludf.DUMMYFUNCTION("""COMPUTED_VALUE"""),"Kylie O'Brien")</f>
        <v>Kylie O'Brien</v>
      </c>
      <c r="C2050" s="189">
        <f ca="1">IFERROR(__xludf.DUMMYFUNCTION("""COMPUTED_VALUE"""),8)</f>
        <v>8</v>
      </c>
      <c r="D2050" s="189" t="str">
        <f ca="1">IFERROR(__xludf.DUMMYFUNCTION("""COMPUTED_VALUE"""),"G")</f>
        <v>G</v>
      </c>
      <c r="E2050" s="189" t="str">
        <f ca="1">IFERROR(__xludf.DUMMYFUNCTION("""COMPUTED_VALUE"""),"F")</f>
        <v>F</v>
      </c>
      <c r="F2050" s="189" t="str">
        <f ca="1">IFERROR(__xludf.DUMMYFUNCTION("""COMPUTED_VALUE"""),"J")</f>
        <v>J</v>
      </c>
      <c r="G2050" s="189">
        <f ca="1">IFERROR(__xludf.DUMMYFUNCTION("""COMPUTED_VALUE"""),1)</f>
        <v>1</v>
      </c>
      <c r="H2050" s="196" t="s">
        <v>805</v>
      </c>
      <c r="I2050" s="196"/>
      <c r="J2050" s="196" t="s">
        <v>29</v>
      </c>
      <c r="K2050" s="196"/>
      <c r="L2050" s="196" t="str">
        <v xml:space="preserve"> 54.70</v>
      </c>
      <c r="M2050" s="196"/>
    </row>
    <row r="2051" spans="1:13" ht="14.4" x14ac:dyDescent="0.3">
      <c r="A2051" s="189" t="str">
        <f ca="1">IFERROR(__xludf.DUMMYFUNCTION("""COMPUTED_VALUE"""),"VW")</f>
        <v>VW</v>
      </c>
      <c r="B2051" s="197" t="str">
        <f ca="1">IFERROR(__xludf.DUMMYFUNCTION("""COMPUTED_VALUE"""),"Lillian Morschauser")</f>
        <v>Lillian Morschauser</v>
      </c>
      <c r="C2051" s="189">
        <f ca="1">IFERROR(__xludf.DUMMYFUNCTION("""COMPUTED_VALUE"""),10)</f>
        <v>10</v>
      </c>
      <c r="D2051" s="189" t="str">
        <f ca="1">IFERROR(__xludf.DUMMYFUNCTION("""COMPUTED_VALUE"""),"G")</f>
        <v>G</v>
      </c>
      <c r="E2051" s="189" t="str">
        <f ca="1">IFERROR(__xludf.DUMMYFUNCTION("""COMPUTED_VALUE"""),"F")</f>
        <v>F</v>
      </c>
      <c r="F2051" s="189" t="str">
        <f ca="1">IFERROR(__xludf.DUMMYFUNCTION("""COMPUTED_VALUE"""),"J")</f>
        <v>J</v>
      </c>
      <c r="G2051" s="189">
        <f ca="1">IFERROR(__xludf.DUMMYFUNCTION("""COMPUTED_VALUE"""),1)</f>
        <v>1</v>
      </c>
      <c r="H2051" s="196" t="s">
        <v>163</v>
      </c>
      <c r="I2051" s="196"/>
      <c r="J2051" s="196" t="s">
        <v>29</v>
      </c>
      <c r="K2051" s="196"/>
      <c r="L2051" s="196" t="str">
        <v xml:space="preserve"> 50.50</v>
      </c>
      <c r="M2051" s="196"/>
    </row>
    <row r="2052" spans="1:13" ht="14.4" x14ac:dyDescent="0.3">
      <c r="A2052" s="189" t="str">
        <f ca="1">IFERROR(__xludf.DUMMYFUNCTION("""COMPUTED_VALUE"""),"VW")</f>
        <v>VW</v>
      </c>
      <c r="B2052" s="197" t="str">
        <f ca="1">IFERROR(__xludf.DUMMYFUNCTION("""COMPUTED_VALUE"""),"Lydia Fernandez")</f>
        <v>Lydia Fernandez</v>
      </c>
      <c r="C2052" s="189">
        <f ca="1">IFERROR(__xludf.DUMMYFUNCTION("""COMPUTED_VALUE"""),10)</f>
        <v>10</v>
      </c>
      <c r="D2052" s="189" t="str">
        <f ca="1">IFERROR(__xludf.DUMMYFUNCTION("""COMPUTED_VALUE"""),"G")</f>
        <v>G</v>
      </c>
      <c r="E2052" s="189" t="str">
        <f ca="1">IFERROR(__xludf.DUMMYFUNCTION("""COMPUTED_VALUE"""),"F")</f>
        <v>F</v>
      </c>
      <c r="F2052" s="189" t="str">
        <f ca="1">IFERROR(__xludf.DUMMYFUNCTION("""COMPUTED_VALUE"""),"J")</f>
        <v>J</v>
      </c>
      <c r="G2052" s="189">
        <f ca="1">IFERROR(__xludf.DUMMYFUNCTION("""COMPUTED_VALUE"""),1)</f>
        <v>1</v>
      </c>
      <c r="H2052" s="196"/>
      <c r="I2052" s="196"/>
      <c r="J2052" s="196"/>
      <c r="K2052" s="196"/>
      <c r="L2052" s="196" t="str">
        <v/>
      </c>
      <c r="M2052" s="196"/>
    </row>
    <row r="2053" spans="1:13" ht="14.4" x14ac:dyDescent="0.3">
      <c r="A2053" s="189" t="str">
        <f ca="1">IFERROR(__xludf.DUMMYFUNCTION("""COMPUTED_VALUE"""),"VW")</f>
        <v>VW</v>
      </c>
      <c r="B2053" s="197" t="str">
        <f ca="1">IFERROR(__xludf.DUMMYFUNCTION("""COMPUTED_VALUE"""),"Savannah Barry")</f>
        <v>Savannah Barry</v>
      </c>
      <c r="C2053" s="189">
        <f ca="1">IFERROR(__xludf.DUMMYFUNCTION("""COMPUTED_VALUE"""),10)</f>
        <v>10</v>
      </c>
      <c r="D2053" s="189" t="str">
        <f ca="1">IFERROR(__xludf.DUMMYFUNCTION("""COMPUTED_VALUE"""),"G")</f>
        <v>G</v>
      </c>
      <c r="E2053" s="189" t="str">
        <f ca="1">IFERROR(__xludf.DUMMYFUNCTION("""COMPUTED_VALUE"""),"F")</f>
        <v>F</v>
      </c>
      <c r="F2053" s="189" t="str">
        <f ca="1">IFERROR(__xludf.DUMMYFUNCTION("""COMPUTED_VALUE"""),"J")</f>
        <v>J</v>
      </c>
      <c r="G2053" s="189">
        <f ca="1">IFERROR(__xludf.DUMMYFUNCTION("""COMPUTED_VALUE"""),1)</f>
        <v>1</v>
      </c>
      <c r="H2053" s="196" t="s">
        <v>806</v>
      </c>
      <c r="I2053" s="196"/>
      <c r="J2053" s="196" t="s">
        <v>29</v>
      </c>
      <c r="K2053" s="196"/>
      <c r="L2053" s="196" t="str">
        <v xml:space="preserve"> 75.80</v>
      </c>
      <c r="M2053" s="196"/>
    </row>
    <row r="2054" spans="1:13" ht="14.4" x14ac:dyDescent="0.3">
      <c r="A2054" s="189" t="str">
        <f ca="1">IFERROR(__xludf.DUMMYFUNCTION("""COMPUTED_VALUE"""),"VW")</f>
        <v>VW</v>
      </c>
      <c r="B2054" s="197" t="str">
        <f ca="1">IFERROR(__xludf.DUMMYFUNCTION("""COMPUTED_VALUE"""),"Vivian Beck")</f>
        <v>Vivian Beck</v>
      </c>
      <c r="C2054" s="189">
        <f ca="1">IFERROR(__xludf.DUMMYFUNCTION("""COMPUTED_VALUE"""),9)</f>
        <v>9</v>
      </c>
      <c r="D2054" s="189" t="str">
        <f ca="1">IFERROR(__xludf.DUMMYFUNCTION("""COMPUTED_VALUE"""),"G")</f>
        <v>G</v>
      </c>
      <c r="E2054" s="189" t="str">
        <f ca="1">IFERROR(__xludf.DUMMYFUNCTION("""COMPUTED_VALUE"""),"F")</f>
        <v>F</v>
      </c>
      <c r="F2054" s="189" t="str">
        <f ca="1">IFERROR(__xludf.DUMMYFUNCTION("""COMPUTED_VALUE"""),"J")</f>
        <v>J</v>
      </c>
      <c r="G2054" s="189">
        <f ca="1">IFERROR(__xludf.DUMMYFUNCTION("""COMPUTED_VALUE"""),1)</f>
        <v>1</v>
      </c>
      <c r="H2054" s="196"/>
      <c r="I2054" s="196"/>
      <c r="J2054" s="196"/>
      <c r="K2054" s="196"/>
      <c r="L2054" s="196" t="str">
        <v/>
      </c>
      <c r="M2054" s="196"/>
    </row>
    <row r="2055" spans="1:13" ht="14.4" x14ac:dyDescent="0.3">
      <c r="A2055" s="189" t="str">
        <f ca="1">IFERROR(__xludf.DUMMYFUNCTION("""COMPUTED_VALUE"""),"VW")</f>
        <v>VW</v>
      </c>
      <c r="B2055" s="197" t="str">
        <f ca="1">IFERROR(__xludf.DUMMYFUNCTION("""COMPUTED_VALUE"""),"Blaise Hawley")</f>
        <v>Blaise Hawley</v>
      </c>
      <c r="C2055" s="189">
        <f ca="1">IFERROR(__xludf.DUMMYFUNCTION("""COMPUTED_VALUE"""),9)</f>
        <v>9</v>
      </c>
      <c r="D2055" s="189" t="str">
        <f ca="1">IFERROR(__xludf.DUMMYFUNCTION("""COMPUTED_VALUE"""),"B")</f>
        <v>B</v>
      </c>
      <c r="E2055" s="189" t="str">
        <f ca="1">IFERROR(__xludf.DUMMYFUNCTION("""COMPUTED_VALUE"""),"F")</f>
        <v>F</v>
      </c>
      <c r="F2055" s="189" t="str">
        <f ca="1">IFERROR(__xludf.DUMMYFUNCTION("""COMPUTED_VALUE"""),"J")</f>
        <v>J</v>
      </c>
      <c r="G2055" s="189">
        <f ca="1">IFERROR(__xludf.DUMMYFUNCTION("""COMPUTED_VALUE"""),1)</f>
        <v>1</v>
      </c>
      <c r="H2055" s="196" t="s">
        <v>202</v>
      </c>
      <c r="I2055" s="196"/>
      <c r="J2055" s="196" t="s">
        <v>29</v>
      </c>
      <c r="K2055" s="196"/>
      <c r="L2055" s="196" t="str">
        <v xml:space="preserve"> 48.40</v>
      </c>
      <c r="M2055" s="196"/>
    </row>
    <row r="2056" spans="1:13" ht="14.4" x14ac:dyDescent="0.3">
      <c r="A2056" s="189" t="str">
        <f ca="1">IFERROR(__xludf.DUMMYFUNCTION("""COMPUTED_VALUE"""),"VW")</f>
        <v>VW</v>
      </c>
      <c r="B2056" s="197" t="str">
        <f ca="1">IFERROR(__xludf.DUMMYFUNCTION("""COMPUTED_VALUE"""),"Cooper Morschauser")</f>
        <v>Cooper Morschauser</v>
      </c>
      <c r="C2056" s="189">
        <f ca="1">IFERROR(__xludf.DUMMYFUNCTION("""COMPUTED_VALUE"""),8)</f>
        <v>8</v>
      </c>
      <c r="D2056" s="189" t="str">
        <f ca="1">IFERROR(__xludf.DUMMYFUNCTION("""COMPUTED_VALUE"""),"B")</f>
        <v>B</v>
      </c>
      <c r="E2056" s="189" t="str">
        <f ca="1">IFERROR(__xludf.DUMMYFUNCTION("""COMPUTED_VALUE"""),"F")</f>
        <v>F</v>
      </c>
      <c r="F2056" s="189" t="str">
        <f ca="1">IFERROR(__xludf.DUMMYFUNCTION("""COMPUTED_VALUE"""),"J")</f>
        <v>J</v>
      </c>
      <c r="G2056" s="189">
        <f ca="1">IFERROR(__xludf.DUMMYFUNCTION("""COMPUTED_VALUE"""),1)</f>
        <v>1</v>
      </c>
      <c r="H2056" s="196" t="s">
        <v>736</v>
      </c>
      <c r="I2056" s="196"/>
      <c r="J2056" s="196" t="s">
        <v>29</v>
      </c>
      <c r="K2056" s="196"/>
      <c r="L2056" s="196" t="str">
        <v xml:space="preserve"> 55.30</v>
      </c>
      <c r="M2056" s="196"/>
    </row>
    <row r="2057" spans="1:13" ht="14.4" x14ac:dyDescent="0.3">
      <c r="A2057" s="189" t="str">
        <f ca="1">IFERROR(__xludf.DUMMYFUNCTION("""COMPUTED_VALUE"""),"VW")</f>
        <v>VW</v>
      </c>
      <c r="B2057" s="197" t="str">
        <f ca="1">IFERROR(__xludf.DUMMYFUNCTION("""COMPUTED_VALUE"""),"Easton Miller")</f>
        <v>Easton Miller</v>
      </c>
      <c r="C2057" s="189">
        <f ca="1">IFERROR(__xludf.DUMMYFUNCTION("""COMPUTED_VALUE"""),8)</f>
        <v>8</v>
      </c>
      <c r="D2057" s="189" t="str">
        <f ca="1">IFERROR(__xludf.DUMMYFUNCTION("""COMPUTED_VALUE"""),"B")</f>
        <v>B</v>
      </c>
      <c r="E2057" s="189" t="str">
        <f ca="1">IFERROR(__xludf.DUMMYFUNCTION("""COMPUTED_VALUE"""),"F")</f>
        <v>F</v>
      </c>
      <c r="F2057" s="189" t="str">
        <f ca="1">IFERROR(__xludf.DUMMYFUNCTION("""COMPUTED_VALUE"""),"J")</f>
        <v>J</v>
      </c>
      <c r="G2057" s="189">
        <f ca="1">IFERROR(__xludf.DUMMYFUNCTION("""COMPUTED_VALUE"""),1)</f>
        <v>1</v>
      </c>
      <c r="H2057" s="196"/>
      <c r="I2057" s="196"/>
      <c r="J2057" s="196"/>
      <c r="K2057" s="196"/>
      <c r="L2057" s="196" t="str">
        <v/>
      </c>
      <c r="M2057" s="196"/>
    </row>
    <row r="2058" spans="1:13" ht="14.4" x14ac:dyDescent="0.3">
      <c r="A2058" s="189" t="str">
        <f ca="1">IFERROR(__xludf.DUMMYFUNCTION("""COMPUTED_VALUE"""),"VW")</f>
        <v>VW</v>
      </c>
      <c r="B2058" s="197" t="str">
        <f ca="1">IFERROR(__xludf.DUMMYFUNCTION("""COMPUTED_VALUE"""),"Henry Hall")</f>
        <v>Henry Hall</v>
      </c>
      <c r="C2058" s="189">
        <f ca="1">IFERROR(__xludf.DUMMYFUNCTION("""COMPUTED_VALUE"""),9)</f>
        <v>9</v>
      </c>
      <c r="D2058" s="189" t="str">
        <f ca="1">IFERROR(__xludf.DUMMYFUNCTION("""COMPUTED_VALUE"""),"B")</f>
        <v>B</v>
      </c>
      <c r="E2058" s="189" t="str">
        <f ca="1">IFERROR(__xludf.DUMMYFUNCTION("""COMPUTED_VALUE"""),"F")</f>
        <v>F</v>
      </c>
      <c r="F2058" s="189" t="str">
        <f ca="1">IFERROR(__xludf.DUMMYFUNCTION("""COMPUTED_VALUE"""),"J")</f>
        <v>J</v>
      </c>
      <c r="G2058" s="189">
        <f ca="1">IFERROR(__xludf.DUMMYFUNCTION("""COMPUTED_VALUE"""),1)</f>
        <v>1</v>
      </c>
      <c r="H2058" s="196"/>
      <c r="I2058" s="196"/>
      <c r="J2058" s="196"/>
      <c r="K2058" s="196"/>
      <c r="L2058" s="196" t="str">
        <v/>
      </c>
      <c r="M2058" s="196"/>
    </row>
    <row r="2059" spans="1:13" ht="14.4" x14ac:dyDescent="0.3">
      <c r="A2059" s="189" t="str">
        <f ca="1">IFERROR(__xludf.DUMMYFUNCTION("""COMPUTED_VALUE"""),"VW")</f>
        <v>VW</v>
      </c>
      <c r="B2059" s="197" t="str">
        <f ca="1">IFERROR(__xludf.DUMMYFUNCTION("""COMPUTED_VALUE"""),"Parker Joshi")</f>
        <v>Parker Joshi</v>
      </c>
      <c r="C2059" s="189">
        <f ca="1">IFERROR(__xludf.DUMMYFUNCTION("""COMPUTED_VALUE"""),6)</f>
        <v>6</v>
      </c>
      <c r="D2059" s="189" t="str">
        <f ca="1">IFERROR(__xludf.DUMMYFUNCTION("""COMPUTED_VALUE"""),"B")</f>
        <v>B</v>
      </c>
      <c r="E2059" s="189" t="str">
        <f ca="1">IFERROR(__xludf.DUMMYFUNCTION("""COMPUTED_VALUE"""),"F")</f>
        <v>F</v>
      </c>
      <c r="F2059" s="189" t="str">
        <f ca="1">IFERROR(__xludf.DUMMYFUNCTION("""COMPUTED_VALUE"""),"J")</f>
        <v>J</v>
      </c>
      <c r="G2059" s="189">
        <f ca="1">IFERROR(__xludf.DUMMYFUNCTION("""COMPUTED_VALUE"""),1)</f>
        <v>1</v>
      </c>
      <c r="H2059" s="196"/>
      <c r="I2059" s="196"/>
      <c r="J2059" s="196"/>
      <c r="K2059" s="196"/>
      <c r="L2059" s="196" t="str">
        <v/>
      </c>
      <c r="M2059" s="196"/>
    </row>
    <row r="2060" spans="1:13" ht="14.4" x14ac:dyDescent="0.3">
      <c r="A2060" s="189" t="str">
        <f ca="1">IFERROR(__xludf.DUMMYFUNCTION("""COMPUTED_VALUE"""),"VW")</f>
        <v>VW</v>
      </c>
      <c r="B2060" s="197" t="str">
        <f ca="1">IFERROR(__xludf.DUMMYFUNCTION("""COMPUTED_VALUE"""),"Sawyer Cohen")</f>
        <v>Sawyer Cohen</v>
      </c>
      <c r="C2060" s="189">
        <f ca="1">IFERROR(__xludf.DUMMYFUNCTION("""COMPUTED_VALUE"""),8)</f>
        <v>8</v>
      </c>
      <c r="D2060" s="189" t="str">
        <f ca="1">IFERROR(__xludf.DUMMYFUNCTION("""COMPUTED_VALUE"""),"B")</f>
        <v>B</v>
      </c>
      <c r="E2060" s="189" t="str">
        <f ca="1">IFERROR(__xludf.DUMMYFUNCTION("""COMPUTED_VALUE"""),"F")</f>
        <v>F</v>
      </c>
      <c r="F2060" s="189" t="str">
        <f ca="1">IFERROR(__xludf.DUMMYFUNCTION("""COMPUTED_VALUE"""),"J")</f>
        <v>J</v>
      </c>
      <c r="G2060" s="189">
        <f ca="1">IFERROR(__xludf.DUMMYFUNCTION("""COMPUTED_VALUE"""),1)</f>
        <v>1</v>
      </c>
      <c r="H2060" s="196"/>
      <c r="I2060" s="196"/>
      <c r="J2060" s="196"/>
      <c r="K2060" s="196"/>
      <c r="L2060" s="196" t="str">
        <v/>
      </c>
      <c r="M2060" s="196"/>
    </row>
    <row r="2061" spans="1:13" ht="14.4" x14ac:dyDescent="0.3">
      <c r="A2061" s="189" t="str">
        <f ca="1">IFERROR(__xludf.DUMMYFUNCTION("""COMPUTED_VALUE"""),"VW")</f>
        <v>VW</v>
      </c>
      <c r="B2061" s="197" t="str">
        <f ca="1">IFERROR(__xludf.DUMMYFUNCTION("""COMPUTED_VALUE"""),"Emmanuella DeMers")</f>
        <v>Emmanuella DeMers</v>
      </c>
      <c r="C2061" s="189">
        <f ca="1">IFERROR(__xludf.DUMMYFUNCTION("""COMPUTED_VALUE"""),13)</f>
        <v>13</v>
      </c>
      <c r="D2061" s="189" t="str">
        <f ca="1">IFERROR(__xludf.DUMMYFUNCTION("""COMPUTED_VALUE"""),"G")</f>
        <v>G</v>
      </c>
      <c r="E2061" s="189" t="str">
        <f ca="1">IFERROR(__xludf.DUMMYFUNCTION("""COMPUTED_VALUE"""),"I")</f>
        <v>I</v>
      </c>
      <c r="F2061" s="189" t="str">
        <f ca="1">IFERROR(__xludf.DUMMYFUNCTION("""COMPUTED_VALUE"""),"S")</f>
        <v>S</v>
      </c>
      <c r="G2061" s="189">
        <f ca="1">IFERROR(__xludf.DUMMYFUNCTION("""COMPUTED_VALUE"""),1)</f>
        <v>1</v>
      </c>
      <c r="H2061" s="196"/>
      <c r="I2061" s="196"/>
      <c r="J2061" s="196"/>
      <c r="K2061" s="196"/>
      <c r="L2061" s="196" t="str">
        <v/>
      </c>
      <c r="M2061" s="196"/>
    </row>
    <row r="2062" spans="1:13" ht="14.4" x14ac:dyDescent="0.3">
      <c r="A2062" s="189" t="str">
        <f ca="1">IFERROR(__xludf.DUMMYFUNCTION("""COMPUTED_VALUE"""),"VW")</f>
        <v>VW</v>
      </c>
      <c r="B2062" s="197" t="str">
        <f ca="1">IFERROR(__xludf.DUMMYFUNCTION("""COMPUTED_VALUE"""),"Skylar Harris")</f>
        <v>Skylar Harris</v>
      </c>
      <c r="C2062" s="189">
        <f ca="1">IFERROR(__xludf.DUMMYFUNCTION("""COMPUTED_VALUE"""),13)</f>
        <v>13</v>
      </c>
      <c r="D2062" s="189" t="str">
        <f ca="1">IFERROR(__xludf.DUMMYFUNCTION("""COMPUTED_VALUE"""),"G")</f>
        <v>G</v>
      </c>
      <c r="E2062" s="189" t="str">
        <f ca="1">IFERROR(__xludf.DUMMYFUNCTION("""COMPUTED_VALUE"""),"I")</f>
        <v>I</v>
      </c>
      <c r="F2062" s="189" t="str">
        <f ca="1">IFERROR(__xludf.DUMMYFUNCTION("""COMPUTED_VALUE"""),"S")</f>
        <v>S</v>
      </c>
      <c r="G2062" s="189">
        <f ca="1">IFERROR(__xludf.DUMMYFUNCTION("""COMPUTED_VALUE"""),1)</f>
        <v>1</v>
      </c>
      <c r="H2062" s="196" t="s">
        <v>807</v>
      </c>
      <c r="I2062" s="196"/>
      <c r="J2062" s="196" t="s">
        <v>29</v>
      </c>
      <c r="K2062" s="196"/>
      <c r="L2062" s="196" t="str">
        <v xml:space="preserve"> 99.25</v>
      </c>
      <c r="M2062" s="196"/>
    </row>
    <row r="2063" spans="1:13" ht="14.4" x14ac:dyDescent="0.3">
      <c r="A2063" s="189" t="str">
        <f ca="1">IFERROR(__xludf.DUMMYFUNCTION("""COMPUTED_VALUE"""),"VW")</f>
        <v>VW</v>
      </c>
      <c r="B2063" s="197" t="str">
        <f ca="1">IFERROR(__xludf.DUMMYFUNCTION("""COMPUTED_VALUE"""),"Maxwell Swensson")</f>
        <v>Maxwell Swensson</v>
      </c>
      <c r="C2063" s="189">
        <f ca="1">IFERROR(__xludf.DUMMYFUNCTION("""COMPUTED_VALUE"""),13)</f>
        <v>13</v>
      </c>
      <c r="D2063" s="189" t="str">
        <f ca="1">IFERROR(__xludf.DUMMYFUNCTION("""COMPUTED_VALUE"""),"B")</f>
        <v>B</v>
      </c>
      <c r="E2063" s="189" t="str">
        <f ca="1">IFERROR(__xludf.DUMMYFUNCTION("""COMPUTED_VALUE"""),"I")</f>
        <v>I</v>
      </c>
      <c r="F2063" s="189" t="str">
        <f ca="1">IFERROR(__xludf.DUMMYFUNCTION("""COMPUTED_VALUE"""),"S")</f>
        <v>S</v>
      </c>
      <c r="G2063" s="189">
        <f ca="1">IFERROR(__xludf.DUMMYFUNCTION("""COMPUTED_VALUE"""),1)</f>
        <v>1</v>
      </c>
      <c r="H2063" s="196"/>
      <c r="I2063" s="196"/>
      <c r="J2063" s="196"/>
      <c r="K2063" s="196"/>
      <c r="L2063" s="196" t="str">
        <v/>
      </c>
      <c r="M2063" s="196"/>
    </row>
    <row r="2064" spans="1:13" ht="14.4" x14ac:dyDescent="0.3">
      <c r="A2064" s="189" t="str">
        <f ca="1">IFERROR(__xludf.DUMMYFUNCTION("""COMPUTED_VALUE"""),"VW")</f>
        <v>VW</v>
      </c>
      <c r="B2064" s="197" t="str">
        <f ca="1">IFERROR(__xludf.DUMMYFUNCTION("""COMPUTED_VALUE"""),"Mount Richmond")</f>
        <v>Mount Richmond</v>
      </c>
      <c r="C2064" s="189">
        <f ca="1">IFERROR(__xludf.DUMMYFUNCTION("""COMPUTED_VALUE"""),13)</f>
        <v>13</v>
      </c>
      <c r="D2064" s="189" t="str">
        <f ca="1">IFERROR(__xludf.DUMMYFUNCTION("""COMPUTED_VALUE"""),"B")</f>
        <v>B</v>
      </c>
      <c r="E2064" s="189" t="str">
        <f ca="1">IFERROR(__xludf.DUMMYFUNCTION("""COMPUTED_VALUE"""),"I")</f>
        <v>I</v>
      </c>
      <c r="F2064" s="189" t="str">
        <f ca="1">IFERROR(__xludf.DUMMYFUNCTION("""COMPUTED_VALUE"""),"S")</f>
        <v>S</v>
      </c>
      <c r="G2064" s="189">
        <f ca="1">IFERROR(__xludf.DUMMYFUNCTION("""COMPUTED_VALUE"""),1)</f>
        <v>1</v>
      </c>
      <c r="H2064" s="196" t="s">
        <v>160</v>
      </c>
      <c r="I2064" s="196"/>
      <c r="J2064" s="196" t="s">
        <v>29</v>
      </c>
      <c r="K2064" s="196"/>
      <c r="L2064" s="196" t="str">
        <v xml:space="preserve"> 115.60</v>
      </c>
      <c r="M2064" s="196"/>
    </row>
    <row r="2065" spans="1:13" ht="14.4" x14ac:dyDescent="0.3">
      <c r="A2065" s="189" t="str">
        <f ca="1">IFERROR(__xludf.DUMMYFUNCTION("""COMPUTED_VALUE"""),"VW")</f>
        <v>VW</v>
      </c>
      <c r="B2065" s="197" t="str">
        <f ca="1">IFERROR(__xludf.DUMMYFUNCTION("""COMPUTED_VALUE"""),"Peyton Reed")</f>
        <v>Peyton Reed</v>
      </c>
      <c r="C2065" s="189">
        <f ca="1">IFERROR(__xludf.DUMMYFUNCTION("""COMPUTED_VALUE"""),14)</f>
        <v>14</v>
      </c>
      <c r="D2065" s="189" t="str">
        <f ca="1">IFERROR(__xludf.DUMMYFUNCTION("""COMPUTED_VALUE"""),"B")</f>
        <v>B</v>
      </c>
      <c r="E2065" s="189" t="str">
        <f ca="1">IFERROR(__xludf.DUMMYFUNCTION("""COMPUTED_VALUE"""),"I")</f>
        <v>I</v>
      </c>
      <c r="F2065" s="189" t="str">
        <f ca="1">IFERROR(__xludf.DUMMYFUNCTION("""COMPUTED_VALUE"""),"S")</f>
        <v>S</v>
      </c>
      <c r="G2065" s="189">
        <f ca="1">IFERROR(__xludf.DUMMYFUNCTION("""COMPUTED_VALUE"""),1)</f>
        <v>1</v>
      </c>
      <c r="H2065" s="196" t="s">
        <v>808</v>
      </c>
      <c r="I2065" s="196"/>
      <c r="J2065" s="196" t="s">
        <v>29</v>
      </c>
      <c r="K2065" s="196"/>
      <c r="L2065" s="196" t="str">
        <v xml:space="preserve"> 206.60</v>
      </c>
      <c r="M2065" s="196"/>
    </row>
    <row r="2066" spans="1:13" ht="14.4" x14ac:dyDescent="0.3">
      <c r="A2066" s="189" t="str">
        <f ca="1">IFERROR(__xludf.DUMMYFUNCTION("""COMPUTED_VALUE"""),"VW")</f>
        <v>VW</v>
      </c>
      <c r="B2066" s="197" t="str">
        <f ca="1">IFERROR(__xludf.DUMMYFUNCTION("""COMPUTED_VALUE"""),"Avery O'Brien")</f>
        <v>Avery O'Brien</v>
      </c>
      <c r="C2066" s="189">
        <f ca="1">IFERROR(__xludf.DUMMYFUNCTION("""COMPUTED_VALUE"""),12)</f>
        <v>12</v>
      </c>
      <c r="D2066" s="189" t="str">
        <f ca="1">IFERROR(__xludf.DUMMYFUNCTION("""COMPUTED_VALUE"""),"G")</f>
        <v>G</v>
      </c>
      <c r="E2066" s="189" t="str">
        <f ca="1">IFERROR(__xludf.DUMMYFUNCTION("""COMPUTED_VALUE"""),"J")</f>
        <v>J</v>
      </c>
      <c r="F2066" s="189" t="str">
        <f ca="1">IFERROR(__xludf.DUMMYFUNCTION("""COMPUTED_VALUE"""),"I")</f>
        <v>I</v>
      </c>
      <c r="G2066" s="189">
        <f ca="1">IFERROR(__xludf.DUMMYFUNCTION("""COMPUTED_VALUE"""),1)</f>
        <v>1</v>
      </c>
      <c r="H2066" s="196"/>
      <c r="I2066" s="196"/>
      <c r="J2066" s="196"/>
      <c r="K2066" s="196"/>
      <c r="L2066" s="196" t="str">
        <v/>
      </c>
      <c r="M2066" s="196"/>
    </row>
    <row r="2067" spans="1:13" ht="14.4" x14ac:dyDescent="0.3">
      <c r="A2067" s="189" t="str">
        <f ca="1">IFERROR(__xludf.DUMMYFUNCTION("""COMPUTED_VALUE"""),"VW")</f>
        <v>VW</v>
      </c>
      <c r="B2067" s="197" t="str">
        <f ca="1">IFERROR(__xludf.DUMMYFUNCTION("""COMPUTED_VALUE"""),"Bodhi Tam")</f>
        <v>Bodhi Tam</v>
      </c>
      <c r="C2067" s="189">
        <f ca="1">IFERROR(__xludf.DUMMYFUNCTION("""COMPUTED_VALUE"""),11)</f>
        <v>11</v>
      </c>
      <c r="D2067" s="189" t="str">
        <f ca="1">IFERROR(__xludf.DUMMYFUNCTION("""COMPUTED_VALUE"""),"G")</f>
        <v>G</v>
      </c>
      <c r="E2067" s="189" t="str">
        <f ca="1">IFERROR(__xludf.DUMMYFUNCTION("""COMPUTED_VALUE"""),"J")</f>
        <v>J</v>
      </c>
      <c r="F2067" s="189" t="str">
        <f ca="1">IFERROR(__xludf.DUMMYFUNCTION("""COMPUTED_VALUE"""),"I")</f>
        <v>I</v>
      </c>
      <c r="G2067" s="189">
        <f ca="1">IFERROR(__xludf.DUMMYFUNCTION("""COMPUTED_VALUE"""),1)</f>
        <v>1</v>
      </c>
      <c r="H2067" s="196" t="s">
        <v>742</v>
      </c>
      <c r="I2067" s="196"/>
      <c r="J2067" s="196" t="s">
        <v>29</v>
      </c>
      <c r="K2067" s="196"/>
      <c r="L2067" s="196" t="str">
        <v xml:space="preserve"> 60.60</v>
      </c>
      <c r="M2067" s="196"/>
    </row>
    <row r="2068" spans="1:13" ht="14.4" x14ac:dyDescent="0.3">
      <c r="A2068" s="189" t="str">
        <f ca="1">IFERROR(__xludf.DUMMYFUNCTION("""COMPUTED_VALUE"""),"VW")</f>
        <v>VW</v>
      </c>
      <c r="B2068" s="197" t="str">
        <f ca="1">IFERROR(__xludf.DUMMYFUNCTION("""COMPUTED_VALUE"""),"Claire Keating")</f>
        <v>Claire Keating</v>
      </c>
      <c r="C2068" s="189">
        <f ca="1">IFERROR(__xludf.DUMMYFUNCTION("""COMPUTED_VALUE"""),11)</f>
        <v>11</v>
      </c>
      <c r="D2068" s="189" t="str">
        <f ca="1">IFERROR(__xludf.DUMMYFUNCTION("""COMPUTED_VALUE"""),"G")</f>
        <v>G</v>
      </c>
      <c r="E2068" s="189" t="str">
        <f ca="1">IFERROR(__xludf.DUMMYFUNCTION("""COMPUTED_VALUE"""),"J")</f>
        <v>J</v>
      </c>
      <c r="F2068" s="189" t="str">
        <f ca="1">IFERROR(__xludf.DUMMYFUNCTION("""COMPUTED_VALUE"""),"I")</f>
        <v>I</v>
      </c>
      <c r="G2068" s="189">
        <f ca="1">IFERROR(__xludf.DUMMYFUNCTION("""COMPUTED_VALUE"""),1)</f>
        <v>1</v>
      </c>
      <c r="H2068" s="196" t="s">
        <v>809</v>
      </c>
      <c r="I2068" s="196"/>
      <c r="J2068" s="196" t="s">
        <v>29</v>
      </c>
      <c r="K2068" s="196"/>
      <c r="L2068" s="196" t="str">
        <v xml:space="preserve"> 72.95</v>
      </c>
      <c r="M2068" s="196"/>
    </row>
    <row r="2069" spans="1:13" ht="14.4" x14ac:dyDescent="0.3">
      <c r="A2069" s="189" t="str">
        <f ca="1">IFERROR(__xludf.DUMMYFUNCTION("""COMPUTED_VALUE"""),"VW")</f>
        <v>VW</v>
      </c>
      <c r="B2069" s="197" t="str">
        <f ca="1">IFERROR(__xludf.DUMMYFUNCTION("""COMPUTED_VALUE"""),"Eleanor Chang")</f>
        <v>Eleanor Chang</v>
      </c>
      <c r="C2069" s="189">
        <f ca="1">IFERROR(__xludf.DUMMYFUNCTION("""COMPUTED_VALUE"""),11)</f>
        <v>11</v>
      </c>
      <c r="D2069" s="189" t="str">
        <f ca="1">IFERROR(__xludf.DUMMYFUNCTION("""COMPUTED_VALUE"""),"G")</f>
        <v>G</v>
      </c>
      <c r="E2069" s="189" t="str">
        <f ca="1">IFERROR(__xludf.DUMMYFUNCTION("""COMPUTED_VALUE"""),"J")</f>
        <v>J</v>
      </c>
      <c r="F2069" s="189" t="str">
        <f ca="1">IFERROR(__xludf.DUMMYFUNCTION("""COMPUTED_VALUE"""),"I")</f>
        <v>I</v>
      </c>
      <c r="G2069" s="189">
        <f ca="1">IFERROR(__xludf.DUMMYFUNCTION("""COMPUTED_VALUE"""),1)</f>
        <v>1</v>
      </c>
      <c r="H2069" s="196" t="s">
        <v>810</v>
      </c>
      <c r="I2069" s="196"/>
      <c r="J2069" s="196" t="s">
        <v>29</v>
      </c>
      <c r="K2069" s="196"/>
      <c r="L2069" s="196" t="str">
        <v xml:space="preserve"> 116.45</v>
      </c>
      <c r="M2069" s="196"/>
    </row>
    <row r="2070" spans="1:13" ht="14.4" x14ac:dyDescent="0.3">
      <c r="A2070" s="189" t="str">
        <f ca="1">IFERROR(__xludf.DUMMYFUNCTION("""COMPUTED_VALUE"""),"VW")</f>
        <v>VW</v>
      </c>
      <c r="B2070" s="197" t="str">
        <f ca="1">IFERROR(__xludf.DUMMYFUNCTION("""COMPUTED_VALUE"""),"Mackenzie Karrels")</f>
        <v>Mackenzie Karrels</v>
      </c>
      <c r="C2070" s="189">
        <f ca="1">IFERROR(__xludf.DUMMYFUNCTION("""COMPUTED_VALUE"""),12)</f>
        <v>12</v>
      </c>
      <c r="D2070" s="189" t="str">
        <f ca="1">IFERROR(__xludf.DUMMYFUNCTION("""COMPUTED_VALUE"""),"G")</f>
        <v>G</v>
      </c>
      <c r="E2070" s="189" t="str">
        <f ca="1">IFERROR(__xludf.DUMMYFUNCTION("""COMPUTED_VALUE"""),"J")</f>
        <v>J</v>
      </c>
      <c r="F2070" s="189" t="str">
        <f ca="1">IFERROR(__xludf.DUMMYFUNCTION("""COMPUTED_VALUE"""),"I")</f>
        <v>I</v>
      </c>
      <c r="G2070" s="189">
        <f ca="1">IFERROR(__xludf.DUMMYFUNCTION("""COMPUTED_VALUE"""),1)</f>
        <v>1</v>
      </c>
      <c r="H2070" s="196" t="s">
        <v>554</v>
      </c>
      <c r="I2070" s="196"/>
      <c r="J2070" s="196" t="s">
        <v>29</v>
      </c>
      <c r="K2070" s="196"/>
      <c r="L2070" s="196" t="str">
        <v xml:space="preserve"> 101.70</v>
      </c>
      <c r="M2070" s="196"/>
    </row>
    <row r="2071" spans="1:13" ht="14.4" x14ac:dyDescent="0.3">
      <c r="A2071" s="189" t="str">
        <f ca="1">IFERROR(__xludf.DUMMYFUNCTION("""COMPUTED_VALUE"""),"VW")</f>
        <v>VW</v>
      </c>
      <c r="B2071" s="197" t="str">
        <f ca="1">IFERROR(__xludf.DUMMYFUNCTION("""COMPUTED_VALUE"""),"Ruthie Gaffney")</f>
        <v>Ruthie Gaffney</v>
      </c>
      <c r="C2071" s="189">
        <f ca="1">IFERROR(__xludf.DUMMYFUNCTION("""COMPUTED_VALUE"""),11)</f>
        <v>11</v>
      </c>
      <c r="D2071" s="189" t="str">
        <f ca="1">IFERROR(__xludf.DUMMYFUNCTION("""COMPUTED_VALUE"""),"G")</f>
        <v>G</v>
      </c>
      <c r="E2071" s="189" t="str">
        <f ca="1">IFERROR(__xludf.DUMMYFUNCTION("""COMPUTED_VALUE"""),"J")</f>
        <v>J</v>
      </c>
      <c r="F2071" s="189" t="str">
        <f ca="1">IFERROR(__xludf.DUMMYFUNCTION("""COMPUTED_VALUE"""),"I")</f>
        <v>I</v>
      </c>
      <c r="G2071" s="189">
        <f ca="1">IFERROR(__xludf.DUMMYFUNCTION("""COMPUTED_VALUE"""),1)</f>
        <v>1</v>
      </c>
      <c r="H2071" s="196" t="s">
        <v>811</v>
      </c>
      <c r="I2071" s="196"/>
      <c r="J2071" s="196" t="s">
        <v>29</v>
      </c>
      <c r="K2071" s="196"/>
      <c r="L2071" s="196" t="str">
        <v xml:space="preserve"> 79.70</v>
      </c>
      <c r="M2071" s="196"/>
    </row>
    <row r="2072" spans="1:13" ht="14.4" x14ac:dyDescent="0.3">
      <c r="A2072" s="189" t="str">
        <f ca="1">IFERROR(__xludf.DUMMYFUNCTION("""COMPUTED_VALUE"""),"VW")</f>
        <v>VW</v>
      </c>
      <c r="B2072" s="197" t="str">
        <f ca="1">IFERROR(__xludf.DUMMYFUNCTION("""COMPUTED_VALUE"""),"Adam O'Keefe")</f>
        <v>Adam O'Keefe</v>
      </c>
      <c r="C2072" s="189">
        <f ca="1">IFERROR(__xludf.DUMMYFUNCTION("""COMPUTED_VALUE"""),12)</f>
        <v>12</v>
      </c>
      <c r="D2072" s="189" t="str">
        <f ca="1">IFERROR(__xludf.DUMMYFUNCTION("""COMPUTED_VALUE"""),"B")</f>
        <v>B</v>
      </c>
      <c r="E2072" s="189" t="str">
        <f ca="1">IFERROR(__xludf.DUMMYFUNCTION("""COMPUTED_VALUE"""),"J")</f>
        <v>J</v>
      </c>
      <c r="F2072" s="189" t="str">
        <f ca="1">IFERROR(__xludf.DUMMYFUNCTION("""COMPUTED_VALUE"""),"I")</f>
        <v>I</v>
      </c>
      <c r="G2072" s="189">
        <f ca="1">IFERROR(__xludf.DUMMYFUNCTION("""COMPUTED_VALUE"""),1)</f>
        <v>1</v>
      </c>
      <c r="H2072" s="196"/>
      <c r="I2072" s="196"/>
      <c r="J2072" s="196"/>
      <c r="K2072" s="196"/>
      <c r="L2072" s="196" t="str">
        <v/>
      </c>
      <c r="M2072" s="196"/>
    </row>
    <row r="2073" spans="1:13" ht="14.4" x14ac:dyDescent="0.3">
      <c r="A2073" s="189" t="str">
        <f ca="1">IFERROR(__xludf.DUMMYFUNCTION("""COMPUTED_VALUE"""),"VW")</f>
        <v>VW</v>
      </c>
      <c r="B2073" s="197" t="str">
        <f ca="1">IFERROR(__xludf.DUMMYFUNCTION("""COMPUTED_VALUE"""),"Bradley Barry")</f>
        <v>Bradley Barry</v>
      </c>
      <c r="C2073" s="189">
        <f ca="1">IFERROR(__xludf.DUMMYFUNCTION("""COMPUTED_VALUE"""),12)</f>
        <v>12</v>
      </c>
      <c r="D2073" s="189" t="str">
        <f ca="1">IFERROR(__xludf.DUMMYFUNCTION("""COMPUTED_VALUE"""),"B")</f>
        <v>B</v>
      </c>
      <c r="E2073" s="189" t="str">
        <f ca="1">IFERROR(__xludf.DUMMYFUNCTION("""COMPUTED_VALUE"""),"J")</f>
        <v>J</v>
      </c>
      <c r="F2073" s="189" t="str">
        <f ca="1">IFERROR(__xludf.DUMMYFUNCTION("""COMPUTED_VALUE"""),"I")</f>
        <v>I</v>
      </c>
      <c r="G2073" s="189">
        <f ca="1">IFERROR(__xludf.DUMMYFUNCTION("""COMPUTED_VALUE"""),1)</f>
        <v>1</v>
      </c>
      <c r="H2073" s="196"/>
      <c r="I2073" s="196"/>
      <c r="J2073" s="196"/>
      <c r="K2073" s="196"/>
      <c r="L2073" s="196" t="str">
        <v/>
      </c>
      <c r="M2073" s="196"/>
    </row>
    <row r="2074" spans="1:13" ht="14.4" x14ac:dyDescent="0.3">
      <c r="A2074" s="189" t="str">
        <f ca="1">IFERROR(__xludf.DUMMYFUNCTION("""COMPUTED_VALUE"""),"VW")</f>
        <v>VW</v>
      </c>
      <c r="B2074" s="197" t="str">
        <f ca="1">IFERROR(__xludf.DUMMYFUNCTION("""COMPUTED_VALUE"""),"Charlie Jreige")</f>
        <v>Charlie Jreige</v>
      </c>
      <c r="C2074" s="189">
        <f ca="1">IFERROR(__xludf.DUMMYFUNCTION("""COMPUTED_VALUE"""),12)</f>
        <v>12</v>
      </c>
      <c r="D2074" s="189" t="str">
        <f ca="1">IFERROR(__xludf.DUMMYFUNCTION("""COMPUTED_VALUE"""),"B")</f>
        <v>B</v>
      </c>
      <c r="E2074" s="189" t="str">
        <f ca="1">IFERROR(__xludf.DUMMYFUNCTION("""COMPUTED_VALUE"""),"J")</f>
        <v>J</v>
      </c>
      <c r="F2074" s="189" t="str">
        <f ca="1">IFERROR(__xludf.DUMMYFUNCTION("""COMPUTED_VALUE"""),"I")</f>
        <v>I</v>
      </c>
      <c r="G2074" s="189">
        <f ca="1">IFERROR(__xludf.DUMMYFUNCTION("""COMPUTED_VALUE"""),1)</f>
        <v>1</v>
      </c>
      <c r="H2074" s="196"/>
      <c r="I2074" s="196"/>
      <c r="J2074" s="196"/>
      <c r="K2074" s="196"/>
      <c r="L2074" s="196" t="str">
        <v/>
      </c>
      <c r="M2074" s="196"/>
    </row>
    <row r="2075" spans="1:13" ht="14.4" x14ac:dyDescent="0.3">
      <c r="A2075" s="189" t="str">
        <f ca="1">IFERROR(__xludf.DUMMYFUNCTION("""COMPUTED_VALUE"""),"VW")</f>
        <v>VW</v>
      </c>
      <c r="B2075" s="197" t="str">
        <f ca="1">IFERROR(__xludf.DUMMYFUNCTION("""COMPUTED_VALUE"""),"Elijah Hawley")</f>
        <v>Elijah Hawley</v>
      </c>
      <c r="C2075" s="189">
        <f ca="1">IFERROR(__xludf.DUMMYFUNCTION("""COMPUTED_VALUE"""),11)</f>
        <v>11</v>
      </c>
      <c r="D2075" s="189" t="str">
        <f ca="1">IFERROR(__xludf.DUMMYFUNCTION("""COMPUTED_VALUE"""),"B")</f>
        <v>B</v>
      </c>
      <c r="E2075" s="189" t="str">
        <f ca="1">IFERROR(__xludf.DUMMYFUNCTION("""COMPUTED_VALUE"""),"J")</f>
        <v>J</v>
      </c>
      <c r="F2075" s="189" t="str">
        <f ca="1">IFERROR(__xludf.DUMMYFUNCTION("""COMPUTED_VALUE"""),"I")</f>
        <v>I</v>
      </c>
      <c r="G2075" s="189">
        <f ca="1">IFERROR(__xludf.DUMMYFUNCTION("""COMPUTED_VALUE"""),1)</f>
        <v>1</v>
      </c>
      <c r="H2075" s="196" t="s">
        <v>812</v>
      </c>
      <c r="I2075" s="196"/>
      <c r="J2075" s="196" t="s">
        <v>29</v>
      </c>
      <c r="K2075" s="196"/>
      <c r="L2075" s="196" t="str">
        <v xml:space="preserve"> 84.00</v>
      </c>
      <c r="M2075" s="196"/>
    </row>
    <row r="2076" spans="1:13" ht="14.4" x14ac:dyDescent="0.3">
      <c r="A2076" s="189" t="str">
        <f ca="1">IFERROR(__xludf.DUMMYFUNCTION("""COMPUTED_VALUE"""),"VW")</f>
        <v>VW</v>
      </c>
      <c r="B2076" s="197" t="str">
        <f ca="1">IFERROR(__xludf.DUMMYFUNCTION("""COMPUTED_VALUE"""),"Tyler Brown")</f>
        <v>Tyler Brown</v>
      </c>
      <c r="C2076" s="189">
        <f ca="1">IFERROR(__xludf.DUMMYFUNCTION("""COMPUTED_VALUE"""),12)</f>
        <v>12</v>
      </c>
      <c r="D2076" s="189" t="str">
        <f ca="1">IFERROR(__xludf.DUMMYFUNCTION("""COMPUTED_VALUE"""),"B")</f>
        <v>B</v>
      </c>
      <c r="E2076" s="189" t="str">
        <f ca="1">IFERROR(__xludf.DUMMYFUNCTION("""COMPUTED_VALUE"""),"J")</f>
        <v>J</v>
      </c>
      <c r="F2076" s="189" t="str">
        <f ca="1">IFERROR(__xludf.DUMMYFUNCTION("""COMPUTED_VALUE"""),"I")</f>
        <v>I</v>
      </c>
      <c r="G2076" s="189">
        <f ca="1">IFERROR(__xludf.DUMMYFUNCTION("""COMPUTED_VALUE"""),1)</f>
        <v>1</v>
      </c>
      <c r="H2076" s="196" t="s">
        <v>556</v>
      </c>
      <c r="I2076" s="196"/>
      <c r="J2076" s="196" t="s">
        <v>29</v>
      </c>
      <c r="K2076" s="196"/>
      <c r="L2076" s="196" t="str">
        <v xml:space="preserve"> 123.30</v>
      </c>
      <c r="M2076" s="196"/>
    </row>
    <row r="2077" spans="1:13" ht="14.4" x14ac:dyDescent="0.3">
      <c r="A2077" s="189" t="str">
        <f ca="1">IFERROR(__xludf.DUMMYFUNCTION("""COMPUTED_VALUE"""),"VW")</f>
        <v>VW</v>
      </c>
      <c r="B2077" s="197" t="str">
        <f ca="1">IFERROR(__xludf.DUMMYFUNCTION("""COMPUTED_VALUE"""),"Marleigh daSilva")</f>
        <v>Marleigh daSilva</v>
      </c>
      <c r="C2077" s="189">
        <f ca="1">IFERROR(__xludf.DUMMYFUNCTION("""COMPUTED_VALUE"""),16)</f>
        <v>16</v>
      </c>
      <c r="D2077" s="189" t="str">
        <f ca="1">IFERROR(__xludf.DUMMYFUNCTION("""COMPUTED_VALUE"""),"G")</f>
        <v>G</v>
      </c>
      <c r="E2077" s="189" t="str">
        <f ca="1">IFERROR(__xludf.DUMMYFUNCTION("""COMPUTED_VALUE"""),"S")</f>
        <v>S</v>
      </c>
      <c r="F2077" s="189" t="str">
        <f ca="1">IFERROR(__xludf.DUMMYFUNCTION("""COMPUTED_VALUE"""),"S")</f>
        <v>S</v>
      </c>
      <c r="G2077" s="189">
        <f ca="1">IFERROR(__xludf.DUMMYFUNCTION("""COMPUTED_VALUE"""),1)</f>
        <v>1</v>
      </c>
      <c r="H2077" s="196"/>
      <c r="I2077" s="196"/>
      <c r="J2077" s="196"/>
      <c r="K2077" s="196"/>
      <c r="L2077" s="196" t="str">
        <v/>
      </c>
      <c r="M2077" s="196"/>
    </row>
    <row r="2078" spans="1:13" ht="14.4" x14ac:dyDescent="0.3">
      <c r="A2078" s="189" t="str">
        <f ca="1">IFERROR(__xludf.DUMMYFUNCTION("""COMPUTED_VALUE"""),"VW")</f>
        <v>VW</v>
      </c>
      <c r="B2078" s="197" t="str">
        <f ca="1">IFERROR(__xludf.DUMMYFUNCTION("""COMPUTED_VALUE"""),"Sophie Bourdelais")</f>
        <v>Sophie Bourdelais</v>
      </c>
      <c r="C2078" s="189">
        <f ca="1">IFERROR(__xludf.DUMMYFUNCTION("""COMPUTED_VALUE"""),15)</f>
        <v>15</v>
      </c>
      <c r="D2078" s="189" t="str">
        <f ca="1">IFERROR(__xludf.DUMMYFUNCTION("""COMPUTED_VALUE"""),"G")</f>
        <v>G</v>
      </c>
      <c r="E2078" s="189" t="str">
        <f ca="1">IFERROR(__xludf.DUMMYFUNCTION("""COMPUTED_VALUE"""),"S")</f>
        <v>S</v>
      </c>
      <c r="F2078" s="189" t="str">
        <f ca="1">IFERROR(__xludf.DUMMYFUNCTION("""COMPUTED_VALUE"""),"S")</f>
        <v>S</v>
      </c>
      <c r="G2078" s="189">
        <f ca="1">IFERROR(__xludf.DUMMYFUNCTION("""COMPUTED_VALUE"""),1)</f>
        <v>1</v>
      </c>
      <c r="H2078" s="196" t="s">
        <v>813</v>
      </c>
      <c r="I2078" s="196"/>
      <c r="J2078" s="196" t="s">
        <v>29</v>
      </c>
      <c r="K2078" s="196"/>
      <c r="L2078" s="196" t="str">
        <v xml:space="preserve"> 137.40</v>
      </c>
      <c r="M2078" s="196"/>
    </row>
    <row r="2079" spans="1:13" ht="14.4" x14ac:dyDescent="0.3">
      <c r="A2079" s="189" t="str">
        <f ca="1">IFERROR(__xludf.DUMMYFUNCTION("""COMPUTED_VALUE"""),"VW")</f>
        <v>VW</v>
      </c>
      <c r="B2079" s="197" t="str">
        <f ca="1">IFERROR(__xludf.DUMMYFUNCTION("""COMPUTED_VALUE"""),"Dylan Paci")</f>
        <v>Dylan Paci</v>
      </c>
      <c r="C2079" s="189">
        <f ca="1">IFERROR(__xludf.DUMMYFUNCTION("""COMPUTED_VALUE"""),17)</f>
        <v>17</v>
      </c>
      <c r="D2079" s="189" t="str">
        <f ca="1">IFERROR(__xludf.DUMMYFUNCTION("""COMPUTED_VALUE"""),"B")</f>
        <v>B</v>
      </c>
      <c r="E2079" s="189" t="str">
        <f ca="1">IFERROR(__xludf.DUMMYFUNCTION("""COMPUTED_VALUE"""),"S")</f>
        <v>S</v>
      </c>
      <c r="F2079" s="189" t="str">
        <f ca="1">IFERROR(__xludf.DUMMYFUNCTION("""COMPUTED_VALUE"""),"S")</f>
        <v>S</v>
      </c>
      <c r="G2079" s="189">
        <f ca="1">IFERROR(__xludf.DUMMYFUNCTION("""COMPUTED_VALUE"""),1)</f>
        <v>1</v>
      </c>
      <c r="H2079" s="196" t="s">
        <v>814</v>
      </c>
      <c r="I2079" s="196"/>
      <c r="J2079" s="196" t="s">
        <v>29</v>
      </c>
      <c r="K2079" s="196"/>
      <c r="L2079" s="196" t="str">
        <v xml:space="preserve"> 215.55</v>
      </c>
      <c r="M2079" s="196"/>
    </row>
    <row r="2080" spans="1:13" ht="14.4" x14ac:dyDescent="0.3">
      <c r="A2080" s="189" t="str">
        <f ca="1">IFERROR(__xludf.DUMMYFUNCTION("""COMPUTED_VALUE"""),"VW")</f>
        <v>VW</v>
      </c>
      <c r="B2080" s="197" t="str">
        <f ca="1">IFERROR(__xludf.DUMMYFUNCTION("""COMPUTED_VALUE"""),"Ivor Brown")</f>
        <v>Ivor Brown</v>
      </c>
      <c r="C2080" s="189">
        <f ca="1">IFERROR(__xludf.DUMMYFUNCTION("""COMPUTED_VALUE"""),16)</f>
        <v>16</v>
      </c>
      <c r="D2080" s="189" t="str">
        <f ca="1">IFERROR(__xludf.DUMMYFUNCTION("""COMPUTED_VALUE"""),"B")</f>
        <v>B</v>
      </c>
      <c r="E2080" s="189" t="str">
        <f ca="1">IFERROR(__xludf.DUMMYFUNCTION("""COMPUTED_VALUE"""),"S")</f>
        <v>S</v>
      </c>
      <c r="F2080" s="189" t="str">
        <f ca="1">IFERROR(__xludf.DUMMYFUNCTION("""COMPUTED_VALUE"""),"S")</f>
        <v>S</v>
      </c>
      <c r="G2080" s="189">
        <f ca="1">IFERROR(__xludf.DUMMYFUNCTION("""COMPUTED_VALUE"""),1)</f>
        <v>1</v>
      </c>
      <c r="H2080" s="196" t="s">
        <v>815</v>
      </c>
      <c r="I2080" s="196"/>
      <c r="J2080" s="196" t="s">
        <v>29</v>
      </c>
      <c r="K2080" s="196"/>
      <c r="L2080" s="196" t="str">
        <v xml:space="preserve"> 286.40</v>
      </c>
      <c r="M2080" s="196"/>
    </row>
    <row r="2081" spans="1:13" ht="14.4" x14ac:dyDescent="0.3">
      <c r="A2081" s="189" t="str">
        <f ca="1">IFERROR(__xludf.DUMMYFUNCTION("""COMPUTED_VALUE"""),"VW")</f>
        <v>VW</v>
      </c>
      <c r="B2081" s="197" t="str">
        <f ca="1">IFERROR(__xludf.DUMMYFUNCTION("""COMPUTED_VALUE"""),"Nick Wanzer")</f>
        <v>Nick Wanzer</v>
      </c>
      <c r="C2081" s="189">
        <f ca="1">IFERROR(__xludf.DUMMYFUNCTION("""COMPUTED_VALUE"""),18)</f>
        <v>18</v>
      </c>
      <c r="D2081" s="189" t="str">
        <f ca="1">IFERROR(__xludf.DUMMYFUNCTION("""COMPUTED_VALUE"""),"B")</f>
        <v>B</v>
      </c>
      <c r="E2081" s="189" t="str">
        <f ca="1">IFERROR(__xludf.DUMMYFUNCTION("""COMPUTED_VALUE"""),"S")</f>
        <v>S</v>
      </c>
      <c r="F2081" s="189" t="str">
        <f ca="1">IFERROR(__xludf.DUMMYFUNCTION("""COMPUTED_VALUE"""),"S")</f>
        <v>S</v>
      </c>
      <c r="G2081" s="189">
        <f ca="1">IFERROR(__xludf.DUMMYFUNCTION("""COMPUTED_VALUE"""),1)</f>
        <v>1</v>
      </c>
      <c r="H2081" s="196" t="s">
        <v>816</v>
      </c>
      <c r="I2081" s="196"/>
      <c r="J2081" s="196" t="s">
        <v>29</v>
      </c>
      <c r="K2081" s="196"/>
      <c r="L2081" s="196" t="str">
        <v xml:space="preserve"> 223.85</v>
      </c>
      <c r="M2081" s="196"/>
    </row>
    <row r="2082" spans="1:13" ht="14.4" x14ac:dyDescent="0.3">
      <c r="A2082" s="189" t="str">
        <f ca="1">IFERROR(__xludf.DUMMYFUNCTION("""COMPUTED_VALUE"""),"VW")</f>
        <v>VW</v>
      </c>
      <c r="B2082" s="197" t="str">
        <f ca="1">IFERROR(__xludf.DUMMYFUNCTION("""COMPUTED_VALUE"""),"Noah Wanzer")</f>
        <v>Noah Wanzer</v>
      </c>
      <c r="C2082" s="189">
        <f ca="1">IFERROR(__xludf.DUMMYFUNCTION("""COMPUTED_VALUE"""),18)</f>
        <v>18</v>
      </c>
      <c r="D2082" s="189" t="str">
        <f ca="1">IFERROR(__xludf.DUMMYFUNCTION("""COMPUTED_VALUE"""),"B")</f>
        <v>B</v>
      </c>
      <c r="E2082" s="189" t="str">
        <f ca="1">IFERROR(__xludf.DUMMYFUNCTION("""COMPUTED_VALUE"""),"S")</f>
        <v>S</v>
      </c>
      <c r="F2082" s="189" t="str">
        <f ca="1">IFERROR(__xludf.DUMMYFUNCTION("""COMPUTED_VALUE"""),"S")</f>
        <v>S</v>
      </c>
      <c r="G2082" s="189">
        <f ca="1">IFERROR(__xludf.DUMMYFUNCTION("""COMPUTED_VALUE"""),1)</f>
        <v>1</v>
      </c>
      <c r="H2082" s="196"/>
      <c r="I2082" s="196"/>
      <c r="J2082" s="196"/>
      <c r="K2082" s="196"/>
      <c r="L2082" s="196" t="str">
        <v/>
      </c>
      <c r="M2082" s="196"/>
    </row>
    <row r="2083" spans="1:13" ht="14.4" x14ac:dyDescent="0.3">
      <c r="A2083" s="189" t="str">
        <f ca="1">IFERROR(__xludf.DUMMYFUNCTION("""COMPUTED_VALUE"""),"W")</f>
        <v>W</v>
      </c>
      <c r="B2083" s="197" t="str">
        <f ca="1">IFERROR(__xludf.DUMMYFUNCTION("""COMPUTED_VALUE"""),"Aurora Davison")</f>
        <v>Aurora Davison</v>
      </c>
      <c r="C2083" s="189">
        <f ca="1">IFERROR(__xludf.DUMMYFUNCTION("""COMPUTED_VALUE"""),8)</f>
        <v>8</v>
      </c>
      <c r="D2083" s="189" t="str">
        <f ca="1">IFERROR(__xludf.DUMMYFUNCTION("""COMPUTED_VALUE"""),"G")</f>
        <v>G</v>
      </c>
      <c r="E2083" s="189" t="str">
        <f ca="1">IFERROR(__xludf.DUMMYFUNCTION("""COMPUTED_VALUE"""),"F")</f>
        <v>F</v>
      </c>
      <c r="F2083" s="189" t="str">
        <f ca="1">IFERROR(__xludf.DUMMYFUNCTION("""COMPUTED_VALUE"""),"J")</f>
        <v>J</v>
      </c>
      <c r="G2083" s="189">
        <f ca="1">IFERROR(__xludf.DUMMYFUNCTION("""COMPUTED_VALUE"""),4)</f>
        <v>4</v>
      </c>
      <c r="H2083" s="196" t="s">
        <v>817</v>
      </c>
      <c r="I2083" s="196"/>
      <c r="J2083" s="196" t="s">
        <v>29</v>
      </c>
      <c r="K2083" s="196"/>
      <c r="L2083" s="196" t="str">
        <v xml:space="preserve"> 59.10</v>
      </c>
      <c r="M2083" s="196"/>
    </row>
    <row r="2084" spans="1:13" ht="14.4" x14ac:dyDescent="0.3">
      <c r="A2084" s="189" t="str">
        <f ca="1">IFERROR(__xludf.DUMMYFUNCTION("""COMPUTED_VALUE"""),"W")</f>
        <v>W</v>
      </c>
      <c r="B2084" s="197" t="str">
        <f ca="1">IFERROR(__xludf.DUMMYFUNCTION("""COMPUTED_VALUE"""),"Cozzy Erwin")</f>
        <v>Cozzy Erwin</v>
      </c>
      <c r="C2084" s="189">
        <f ca="1">IFERROR(__xludf.DUMMYFUNCTION("""COMPUTED_VALUE"""),6)</f>
        <v>6</v>
      </c>
      <c r="D2084" s="189" t="str">
        <f ca="1">IFERROR(__xludf.DUMMYFUNCTION("""COMPUTED_VALUE"""),"G")</f>
        <v>G</v>
      </c>
      <c r="E2084" s="189" t="str">
        <f ca="1">IFERROR(__xludf.DUMMYFUNCTION("""COMPUTED_VALUE"""),"F")</f>
        <v>F</v>
      </c>
      <c r="F2084" s="189" t="str">
        <f ca="1">IFERROR(__xludf.DUMMYFUNCTION("""COMPUTED_VALUE"""),"J")</f>
        <v>J</v>
      </c>
      <c r="G2084" s="189">
        <f ca="1">IFERROR(__xludf.DUMMYFUNCTION("""COMPUTED_VALUE"""),4)</f>
        <v>4</v>
      </c>
      <c r="H2084" s="196"/>
      <c r="I2084" s="196"/>
      <c r="J2084" s="196"/>
      <c r="K2084" s="196"/>
      <c r="L2084" s="196" t="str">
        <v/>
      </c>
      <c r="M2084" s="196"/>
    </row>
    <row r="2085" spans="1:13" ht="14.4" x14ac:dyDescent="0.3">
      <c r="A2085" s="189" t="str">
        <f ca="1">IFERROR(__xludf.DUMMYFUNCTION("""COMPUTED_VALUE"""),"W")</f>
        <v>W</v>
      </c>
      <c r="B2085" s="197" t="str">
        <f ca="1">IFERROR(__xludf.DUMMYFUNCTION("""COMPUTED_VALUE"""),"Deya Sidhu")</f>
        <v>Deya Sidhu</v>
      </c>
      <c r="C2085" s="189">
        <f ca="1">IFERROR(__xludf.DUMMYFUNCTION("""COMPUTED_VALUE"""),8)</f>
        <v>8</v>
      </c>
      <c r="D2085" s="189" t="str">
        <f ca="1">IFERROR(__xludf.DUMMYFUNCTION("""COMPUTED_VALUE"""),"G")</f>
        <v>G</v>
      </c>
      <c r="E2085" s="189" t="str">
        <f ca="1">IFERROR(__xludf.DUMMYFUNCTION("""COMPUTED_VALUE"""),"F")</f>
        <v>F</v>
      </c>
      <c r="F2085" s="189" t="str">
        <f ca="1">IFERROR(__xludf.DUMMYFUNCTION("""COMPUTED_VALUE"""),"J")</f>
        <v>J</v>
      </c>
      <c r="G2085" s="189">
        <f ca="1">IFERROR(__xludf.DUMMYFUNCTION("""COMPUTED_VALUE"""),4)</f>
        <v>4</v>
      </c>
      <c r="H2085" s="196"/>
      <c r="I2085" s="196"/>
      <c r="J2085" s="196"/>
      <c r="K2085" s="196"/>
      <c r="L2085" s="196" t="str">
        <v/>
      </c>
      <c r="M2085" s="196"/>
    </row>
    <row r="2086" spans="1:13" ht="14.4" x14ac:dyDescent="0.3">
      <c r="A2086" s="189" t="str">
        <f ca="1">IFERROR(__xludf.DUMMYFUNCTION("""COMPUTED_VALUE"""),"W")</f>
        <v>W</v>
      </c>
      <c r="B2086" s="197" t="str">
        <f ca="1">IFERROR(__xludf.DUMMYFUNCTION("""COMPUTED_VALUE"""),"Effie Erwin")</f>
        <v>Effie Erwin</v>
      </c>
      <c r="C2086" s="189">
        <f ca="1">IFERROR(__xludf.DUMMYFUNCTION("""COMPUTED_VALUE"""),10)</f>
        <v>10</v>
      </c>
      <c r="D2086" s="189" t="str">
        <f ca="1">IFERROR(__xludf.DUMMYFUNCTION("""COMPUTED_VALUE"""),"G")</f>
        <v>G</v>
      </c>
      <c r="E2086" s="189" t="str">
        <f ca="1">IFERROR(__xludf.DUMMYFUNCTION("""COMPUTED_VALUE"""),"F")</f>
        <v>F</v>
      </c>
      <c r="F2086" s="189" t="str">
        <f ca="1">IFERROR(__xludf.DUMMYFUNCTION("""COMPUTED_VALUE"""),"J")</f>
        <v>J</v>
      </c>
      <c r="G2086" s="189">
        <f ca="1">IFERROR(__xludf.DUMMYFUNCTION("""COMPUTED_VALUE"""),4)</f>
        <v>4</v>
      </c>
      <c r="H2086" s="196" t="s">
        <v>818</v>
      </c>
      <c r="I2086" s="196"/>
      <c r="J2086" s="196" t="s">
        <v>29</v>
      </c>
      <c r="K2086" s="196"/>
      <c r="L2086" s="196" t="str">
        <v xml:space="preserve"> 49.15</v>
      </c>
      <c r="M2086" s="196"/>
    </row>
    <row r="2087" spans="1:13" ht="14.4" x14ac:dyDescent="0.3">
      <c r="A2087" s="189" t="str">
        <f ca="1">IFERROR(__xludf.DUMMYFUNCTION("""COMPUTED_VALUE"""),"W")</f>
        <v>W</v>
      </c>
      <c r="B2087" s="197" t="str">
        <f ca="1">IFERROR(__xludf.DUMMYFUNCTION("""COMPUTED_VALUE"""),"Emerie Woods")</f>
        <v>Emerie Woods</v>
      </c>
      <c r="C2087" s="189">
        <f ca="1">IFERROR(__xludf.DUMMYFUNCTION("""COMPUTED_VALUE"""),10)</f>
        <v>10</v>
      </c>
      <c r="D2087" s="189" t="str">
        <f ca="1">IFERROR(__xludf.DUMMYFUNCTION("""COMPUTED_VALUE"""),"G")</f>
        <v>G</v>
      </c>
      <c r="E2087" s="189" t="str">
        <f ca="1">IFERROR(__xludf.DUMMYFUNCTION("""COMPUTED_VALUE"""),"F")</f>
        <v>F</v>
      </c>
      <c r="F2087" s="189" t="str">
        <f ca="1">IFERROR(__xludf.DUMMYFUNCTION("""COMPUTED_VALUE"""),"J")</f>
        <v>J</v>
      </c>
      <c r="G2087" s="189">
        <f ca="1">IFERROR(__xludf.DUMMYFUNCTION("""COMPUTED_VALUE"""),4)</f>
        <v>4</v>
      </c>
      <c r="H2087" s="196" t="s">
        <v>819</v>
      </c>
      <c r="I2087" s="196"/>
      <c r="J2087" s="196" t="s">
        <v>29</v>
      </c>
      <c r="K2087" s="196"/>
      <c r="L2087" s="196" t="str">
        <v xml:space="preserve"> 62.25</v>
      </c>
      <c r="M2087" s="196"/>
    </row>
    <row r="2088" spans="1:13" ht="14.4" x14ac:dyDescent="0.3">
      <c r="A2088" s="189" t="str">
        <f ca="1">IFERROR(__xludf.DUMMYFUNCTION("""COMPUTED_VALUE"""),"W")</f>
        <v>W</v>
      </c>
      <c r="B2088" s="197" t="str">
        <f ca="1">IFERROR(__xludf.DUMMYFUNCTION("""COMPUTED_VALUE"""),"Isabelle Hoover")</f>
        <v>Isabelle Hoover</v>
      </c>
      <c r="C2088" s="189">
        <f ca="1">IFERROR(__xludf.DUMMYFUNCTION("""COMPUTED_VALUE"""),7)</f>
        <v>7</v>
      </c>
      <c r="D2088" s="189" t="str">
        <f ca="1">IFERROR(__xludf.DUMMYFUNCTION("""COMPUTED_VALUE"""),"G")</f>
        <v>G</v>
      </c>
      <c r="E2088" s="189" t="str">
        <f ca="1">IFERROR(__xludf.DUMMYFUNCTION("""COMPUTED_VALUE"""),"F")</f>
        <v>F</v>
      </c>
      <c r="F2088" s="189" t="str">
        <f ca="1">IFERROR(__xludf.DUMMYFUNCTION("""COMPUTED_VALUE"""),"J")</f>
        <v>J</v>
      </c>
      <c r="G2088" s="189">
        <f ca="1">IFERROR(__xludf.DUMMYFUNCTION("""COMPUTED_VALUE"""),4)</f>
        <v>4</v>
      </c>
      <c r="H2088" s="196"/>
      <c r="I2088" s="196"/>
      <c r="J2088" s="196"/>
      <c r="K2088" s="196"/>
      <c r="L2088" s="196" t="str">
        <v/>
      </c>
      <c r="M2088" s="196"/>
    </row>
    <row r="2089" spans="1:13" ht="14.4" x14ac:dyDescent="0.3">
      <c r="A2089" s="189" t="str">
        <f ca="1">IFERROR(__xludf.DUMMYFUNCTION("""COMPUTED_VALUE"""),"W")</f>
        <v>W</v>
      </c>
      <c r="B2089" s="197" t="str">
        <f ca="1">IFERROR(__xludf.DUMMYFUNCTION("""COMPUTED_VALUE"""),"Julie Ahern")</f>
        <v>Julie Ahern</v>
      </c>
      <c r="C2089" s="189">
        <f ca="1">IFERROR(__xludf.DUMMYFUNCTION("""COMPUTED_VALUE"""),9)</f>
        <v>9</v>
      </c>
      <c r="D2089" s="189" t="str">
        <f ca="1">IFERROR(__xludf.DUMMYFUNCTION("""COMPUTED_VALUE"""),"G")</f>
        <v>G</v>
      </c>
      <c r="E2089" s="189" t="str">
        <f ca="1">IFERROR(__xludf.DUMMYFUNCTION("""COMPUTED_VALUE"""),"F")</f>
        <v>F</v>
      </c>
      <c r="F2089" s="189" t="str">
        <f ca="1">IFERROR(__xludf.DUMMYFUNCTION("""COMPUTED_VALUE"""),"J")</f>
        <v>J</v>
      </c>
      <c r="G2089" s="189">
        <f ca="1">IFERROR(__xludf.DUMMYFUNCTION("""COMPUTED_VALUE"""),4)</f>
        <v>4</v>
      </c>
      <c r="H2089" s="196"/>
      <c r="I2089" s="196"/>
      <c r="J2089" s="196"/>
      <c r="K2089" s="196"/>
      <c r="L2089" s="196" t="str">
        <v/>
      </c>
      <c r="M2089" s="196"/>
    </row>
    <row r="2090" spans="1:13" ht="14.4" x14ac:dyDescent="0.3">
      <c r="A2090" s="189" t="str">
        <f ca="1">IFERROR(__xludf.DUMMYFUNCTION("""COMPUTED_VALUE"""),"W")</f>
        <v>W</v>
      </c>
      <c r="B2090" s="197" t="str">
        <f ca="1">IFERROR(__xludf.DUMMYFUNCTION("""COMPUTED_VALUE"""),"Matilda Kotania")</f>
        <v>Matilda Kotania</v>
      </c>
      <c r="C2090" s="189">
        <f ca="1">IFERROR(__xludf.DUMMYFUNCTION("""COMPUTED_VALUE"""),6)</f>
        <v>6</v>
      </c>
      <c r="D2090" s="189" t="str">
        <f ca="1">IFERROR(__xludf.DUMMYFUNCTION("""COMPUTED_VALUE"""),"G")</f>
        <v>G</v>
      </c>
      <c r="E2090" s="189" t="str">
        <f ca="1">IFERROR(__xludf.DUMMYFUNCTION("""COMPUTED_VALUE"""),"F")</f>
        <v>F</v>
      </c>
      <c r="F2090" s="189" t="str">
        <f ca="1">IFERROR(__xludf.DUMMYFUNCTION("""COMPUTED_VALUE"""),"J")</f>
        <v>J</v>
      </c>
      <c r="G2090" s="189">
        <f ca="1">IFERROR(__xludf.DUMMYFUNCTION("""COMPUTED_VALUE"""),4)</f>
        <v>4</v>
      </c>
      <c r="H2090" s="196"/>
      <c r="I2090" s="196"/>
      <c r="J2090" s="196"/>
      <c r="K2090" s="196"/>
      <c r="L2090" s="196" t="str">
        <v/>
      </c>
      <c r="M2090" s="196"/>
    </row>
    <row r="2091" spans="1:13" ht="14.4" x14ac:dyDescent="0.3">
      <c r="A2091" s="189" t="str">
        <f ca="1">IFERROR(__xludf.DUMMYFUNCTION("""COMPUTED_VALUE"""),"W")</f>
        <v>W</v>
      </c>
      <c r="B2091" s="197" t="str">
        <f ca="1">IFERROR(__xludf.DUMMYFUNCTION("""COMPUTED_VALUE"""),"Meghan Hetmanski")</f>
        <v>Meghan Hetmanski</v>
      </c>
      <c r="C2091" s="189">
        <f ca="1">IFERROR(__xludf.DUMMYFUNCTION("""COMPUTED_VALUE"""),8)</f>
        <v>8</v>
      </c>
      <c r="D2091" s="189" t="str">
        <f ca="1">IFERROR(__xludf.DUMMYFUNCTION("""COMPUTED_VALUE"""),"G")</f>
        <v>G</v>
      </c>
      <c r="E2091" s="189" t="str">
        <f ca="1">IFERROR(__xludf.DUMMYFUNCTION("""COMPUTED_VALUE"""),"F")</f>
        <v>F</v>
      </c>
      <c r="F2091" s="189" t="str">
        <f ca="1">IFERROR(__xludf.DUMMYFUNCTION("""COMPUTED_VALUE"""),"J")</f>
        <v>J</v>
      </c>
      <c r="G2091" s="189">
        <f ca="1">IFERROR(__xludf.DUMMYFUNCTION("""COMPUTED_VALUE"""),4)</f>
        <v>4</v>
      </c>
      <c r="H2091" s="196" t="s">
        <v>650</v>
      </c>
      <c r="I2091" s="196"/>
      <c r="J2091" s="196" t="s">
        <v>29</v>
      </c>
      <c r="K2091" s="196"/>
      <c r="L2091" s="196" t="str">
        <v xml:space="preserve"> 40.80</v>
      </c>
      <c r="M2091" s="196"/>
    </row>
    <row r="2092" spans="1:13" ht="14.4" x14ac:dyDescent="0.3">
      <c r="A2092" s="189" t="str">
        <f ca="1">IFERROR(__xludf.DUMMYFUNCTION("""COMPUTED_VALUE"""),"W")</f>
        <v>W</v>
      </c>
      <c r="B2092" s="197" t="str">
        <f ca="1">IFERROR(__xludf.DUMMYFUNCTION("""COMPUTED_VALUE"""),"Seraphina Davison")</f>
        <v>Seraphina Davison</v>
      </c>
      <c r="C2092" s="189">
        <f ca="1">IFERROR(__xludf.DUMMYFUNCTION("""COMPUTED_VALUE"""),7)</f>
        <v>7</v>
      </c>
      <c r="D2092" s="189" t="str">
        <f ca="1">IFERROR(__xludf.DUMMYFUNCTION("""COMPUTED_VALUE"""),"G")</f>
        <v>G</v>
      </c>
      <c r="E2092" s="189" t="str">
        <f ca="1">IFERROR(__xludf.DUMMYFUNCTION("""COMPUTED_VALUE"""),"F")</f>
        <v>F</v>
      </c>
      <c r="F2092" s="189" t="str">
        <f ca="1">IFERROR(__xludf.DUMMYFUNCTION("""COMPUTED_VALUE"""),"J")</f>
        <v>J</v>
      </c>
      <c r="G2092" s="189">
        <f ca="1">IFERROR(__xludf.DUMMYFUNCTION("""COMPUTED_VALUE"""),4)</f>
        <v>4</v>
      </c>
      <c r="H2092" s="196"/>
      <c r="I2092" s="196"/>
      <c r="J2092" s="196"/>
      <c r="K2092" s="196"/>
      <c r="L2092" s="196" t="str">
        <v/>
      </c>
      <c r="M2092" s="196"/>
    </row>
    <row r="2093" spans="1:13" ht="14.4" x14ac:dyDescent="0.3">
      <c r="A2093" s="189" t="str">
        <f ca="1">IFERROR(__xludf.DUMMYFUNCTION("""COMPUTED_VALUE"""),"W")</f>
        <v>W</v>
      </c>
      <c r="B2093" s="197" t="str">
        <f ca="1">IFERROR(__xludf.DUMMYFUNCTION("""COMPUTED_VALUE"""),"Daniel Ahern")</f>
        <v>Daniel Ahern</v>
      </c>
      <c r="C2093" s="189">
        <f ca="1">IFERROR(__xludf.DUMMYFUNCTION("""COMPUTED_VALUE"""),5)</f>
        <v>5</v>
      </c>
      <c r="D2093" s="189" t="str">
        <f ca="1">IFERROR(__xludf.DUMMYFUNCTION("""COMPUTED_VALUE"""),"B")</f>
        <v>B</v>
      </c>
      <c r="E2093" s="189" t="str">
        <f ca="1">IFERROR(__xludf.DUMMYFUNCTION("""COMPUTED_VALUE"""),"F")</f>
        <v>F</v>
      </c>
      <c r="F2093" s="189" t="str">
        <f ca="1">IFERROR(__xludf.DUMMYFUNCTION("""COMPUTED_VALUE"""),"J")</f>
        <v>J</v>
      </c>
      <c r="G2093" s="189">
        <f ca="1">IFERROR(__xludf.DUMMYFUNCTION("""COMPUTED_VALUE"""),4)</f>
        <v>4</v>
      </c>
      <c r="H2093" s="196"/>
      <c r="I2093" s="196"/>
      <c r="J2093" s="196"/>
      <c r="K2093" s="196"/>
      <c r="L2093" s="196" t="str">
        <v/>
      </c>
      <c r="M2093" s="196"/>
    </row>
    <row r="2094" spans="1:13" ht="14.4" x14ac:dyDescent="0.3">
      <c r="A2094" s="189" t="str">
        <f ca="1">IFERROR(__xludf.DUMMYFUNCTION("""COMPUTED_VALUE"""),"W")</f>
        <v>W</v>
      </c>
      <c r="B2094" s="197" t="str">
        <f ca="1">IFERROR(__xludf.DUMMYFUNCTION("""COMPUTED_VALUE"""),"Harrison Niday")</f>
        <v>Harrison Niday</v>
      </c>
      <c r="C2094" s="189">
        <f ca="1">IFERROR(__xludf.DUMMYFUNCTION("""COMPUTED_VALUE"""),9)</f>
        <v>9</v>
      </c>
      <c r="D2094" s="189" t="str">
        <f ca="1">IFERROR(__xludf.DUMMYFUNCTION("""COMPUTED_VALUE"""),"B")</f>
        <v>B</v>
      </c>
      <c r="E2094" s="189" t="str">
        <f ca="1">IFERROR(__xludf.DUMMYFUNCTION("""COMPUTED_VALUE"""),"F")</f>
        <v>F</v>
      </c>
      <c r="F2094" s="189" t="str">
        <f ca="1">IFERROR(__xludf.DUMMYFUNCTION("""COMPUTED_VALUE"""),"J")</f>
        <v>J</v>
      </c>
      <c r="G2094" s="189">
        <f ca="1">IFERROR(__xludf.DUMMYFUNCTION("""COMPUTED_VALUE"""),4)</f>
        <v>4</v>
      </c>
      <c r="H2094" s="196"/>
      <c r="I2094" s="196"/>
      <c r="J2094" s="196"/>
      <c r="K2094" s="196"/>
      <c r="L2094" s="196" t="str">
        <v/>
      </c>
      <c r="M2094" s="196"/>
    </row>
    <row r="2095" spans="1:13" ht="14.4" x14ac:dyDescent="0.3">
      <c r="A2095" s="189" t="str">
        <f ca="1">IFERROR(__xludf.DUMMYFUNCTION("""COMPUTED_VALUE"""),"W")</f>
        <v>W</v>
      </c>
      <c r="B2095" s="197" t="str">
        <f ca="1">IFERROR(__xludf.DUMMYFUNCTION("""COMPUTED_VALUE"""),"Jackson Plevniak")</f>
        <v>Jackson Plevniak</v>
      </c>
      <c r="C2095" s="189">
        <f ca="1">IFERROR(__xludf.DUMMYFUNCTION("""COMPUTED_VALUE"""),10)</f>
        <v>10</v>
      </c>
      <c r="D2095" s="189" t="str">
        <f ca="1">IFERROR(__xludf.DUMMYFUNCTION("""COMPUTED_VALUE"""),"B")</f>
        <v>B</v>
      </c>
      <c r="E2095" s="189" t="str">
        <f ca="1">IFERROR(__xludf.DUMMYFUNCTION("""COMPUTED_VALUE"""),"F")</f>
        <v>F</v>
      </c>
      <c r="F2095" s="189" t="str">
        <f ca="1">IFERROR(__xludf.DUMMYFUNCTION("""COMPUTED_VALUE"""),"J")</f>
        <v>J</v>
      </c>
      <c r="G2095" s="189">
        <f ca="1">IFERROR(__xludf.DUMMYFUNCTION("""COMPUTED_VALUE"""),4)</f>
        <v>4</v>
      </c>
      <c r="H2095" s="196"/>
      <c r="I2095" s="196"/>
      <c r="J2095" s="196"/>
      <c r="K2095" s="196"/>
      <c r="L2095" s="196" t="str">
        <v/>
      </c>
      <c r="M2095" s="196"/>
    </row>
    <row r="2096" spans="1:13" ht="14.4" x14ac:dyDescent="0.3">
      <c r="A2096" s="189" t="str">
        <f ca="1">IFERROR(__xludf.DUMMYFUNCTION("""COMPUTED_VALUE"""),"W")</f>
        <v>W</v>
      </c>
      <c r="B2096" s="197" t="str">
        <f ca="1">IFERROR(__xludf.DUMMYFUNCTION("""COMPUTED_VALUE"""),"John Ahern")</f>
        <v>John Ahern</v>
      </c>
      <c r="C2096" s="189">
        <f ca="1">IFERROR(__xludf.DUMMYFUNCTION("""COMPUTED_VALUE"""),7)</f>
        <v>7</v>
      </c>
      <c r="D2096" s="189" t="str">
        <f ca="1">IFERROR(__xludf.DUMMYFUNCTION("""COMPUTED_VALUE"""),"B")</f>
        <v>B</v>
      </c>
      <c r="E2096" s="189" t="str">
        <f ca="1">IFERROR(__xludf.DUMMYFUNCTION("""COMPUTED_VALUE"""),"F")</f>
        <v>F</v>
      </c>
      <c r="F2096" s="189" t="str">
        <f ca="1">IFERROR(__xludf.DUMMYFUNCTION("""COMPUTED_VALUE"""),"J")</f>
        <v>J</v>
      </c>
      <c r="G2096" s="189">
        <f ca="1">IFERROR(__xludf.DUMMYFUNCTION("""COMPUTED_VALUE"""),4)</f>
        <v>4</v>
      </c>
      <c r="H2096" s="196"/>
      <c r="I2096" s="196"/>
      <c r="J2096" s="196"/>
      <c r="K2096" s="196"/>
      <c r="L2096" s="196" t="str">
        <v/>
      </c>
      <c r="M2096" s="196"/>
    </row>
    <row r="2097" spans="1:13" ht="14.4" x14ac:dyDescent="0.3">
      <c r="A2097" s="189" t="str">
        <f ca="1">IFERROR(__xludf.DUMMYFUNCTION("""COMPUTED_VALUE"""),"W")</f>
        <v>W</v>
      </c>
      <c r="B2097" s="197" t="str">
        <f ca="1">IFERROR(__xludf.DUMMYFUNCTION("""COMPUTED_VALUE"""),"Kai Boulter")</f>
        <v>Kai Boulter</v>
      </c>
      <c r="C2097" s="189">
        <f ca="1">IFERROR(__xludf.DUMMYFUNCTION("""COMPUTED_VALUE"""),10)</f>
        <v>10</v>
      </c>
      <c r="D2097" s="189" t="str">
        <f ca="1">IFERROR(__xludf.DUMMYFUNCTION("""COMPUTED_VALUE"""),"B")</f>
        <v>B</v>
      </c>
      <c r="E2097" s="189" t="str">
        <f ca="1">IFERROR(__xludf.DUMMYFUNCTION("""COMPUTED_VALUE"""),"F")</f>
        <v>F</v>
      </c>
      <c r="F2097" s="189" t="str">
        <f ca="1">IFERROR(__xludf.DUMMYFUNCTION("""COMPUTED_VALUE"""),"J")</f>
        <v>J</v>
      </c>
      <c r="G2097" s="189">
        <f ca="1">IFERROR(__xludf.DUMMYFUNCTION("""COMPUTED_VALUE"""),4)</f>
        <v>4</v>
      </c>
      <c r="H2097" s="196" t="s">
        <v>820</v>
      </c>
      <c r="I2097" s="196"/>
      <c r="J2097" s="196" t="s">
        <v>29</v>
      </c>
      <c r="K2097" s="196"/>
      <c r="L2097" s="196" t="str">
        <v xml:space="preserve"> 59.15</v>
      </c>
      <c r="M2097" s="196"/>
    </row>
    <row r="2098" spans="1:13" ht="14.4" x14ac:dyDescent="0.3">
      <c r="A2098" s="189" t="str">
        <f ca="1">IFERROR(__xludf.DUMMYFUNCTION("""COMPUTED_VALUE"""),"W")</f>
        <v>W</v>
      </c>
      <c r="B2098" s="197" t="str">
        <f ca="1">IFERROR(__xludf.DUMMYFUNCTION("""COMPUTED_VALUE"""),"Karmvir Sidhu")</f>
        <v>Karmvir Sidhu</v>
      </c>
      <c r="C2098" s="189">
        <f ca="1">IFERROR(__xludf.DUMMYFUNCTION("""COMPUTED_VALUE"""),10)</f>
        <v>10</v>
      </c>
      <c r="D2098" s="189" t="str">
        <f ca="1">IFERROR(__xludf.DUMMYFUNCTION("""COMPUTED_VALUE"""),"B")</f>
        <v>B</v>
      </c>
      <c r="E2098" s="189" t="str">
        <f ca="1">IFERROR(__xludf.DUMMYFUNCTION("""COMPUTED_VALUE"""),"F")</f>
        <v>F</v>
      </c>
      <c r="F2098" s="189" t="str">
        <f ca="1">IFERROR(__xludf.DUMMYFUNCTION("""COMPUTED_VALUE"""),"J")</f>
        <v>J</v>
      </c>
      <c r="G2098" s="189">
        <f ca="1">IFERROR(__xludf.DUMMYFUNCTION("""COMPUTED_VALUE"""),4)</f>
        <v>4</v>
      </c>
      <c r="H2098" s="196"/>
      <c r="I2098" s="196"/>
      <c r="J2098" s="196"/>
      <c r="K2098" s="196"/>
      <c r="L2098" s="196" t="str">
        <v/>
      </c>
      <c r="M2098" s="196"/>
    </row>
    <row r="2099" spans="1:13" ht="14.4" x14ac:dyDescent="0.3">
      <c r="A2099" s="189" t="str">
        <f ca="1">IFERROR(__xludf.DUMMYFUNCTION("""COMPUTED_VALUE"""),"W")</f>
        <v>W</v>
      </c>
      <c r="B2099" s="197" t="str">
        <f ca="1">IFERROR(__xludf.DUMMYFUNCTION("""COMPUTED_VALUE"""),"LaMonica Theo")</f>
        <v>LaMonica Theo</v>
      </c>
      <c r="C2099" s="189">
        <f ca="1">IFERROR(__xludf.DUMMYFUNCTION("""COMPUTED_VALUE"""),8)</f>
        <v>8</v>
      </c>
      <c r="D2099" s="189" t="str">
        <f ca="1">IFERROR(__xludf.DUMMYFUNCTION("""COMPUTED_VALUE"""),"B")</f>
        <v>B</v>
      </c>
      <c r="E2099" s="189" t="str">
        <f ca="1">IFERROR(__xludf.DUMMYFUNCTION("""COMPUTED_VALUE"""),"F")</f>
        <v>F</v>
      </c>
      <c r="F2099" s="189" t="str">
        <f ca="1">IFERROR(__xludf.DUMMYFUNCTION("""COMPUTED_VALUE"""),"J")</f>
        <v>J</v>
      </c>
      <c r="G2099" s="189">
        <f ca="1">IFERROR(__xludf.DUMMYFUNCTION("""COMPUTED_VALUE"""),4)</f>
        <v>4</v>
      </c>
      <c r="H2099" s="196" t="s">
        <v>91</v>
      </c>
      <c r="I2099" s="196"/>
      <c r="J2099" s="196" t="s">
        <v>29</v>
      </c>
      <c r="K2099" s="196"/>
      <c r="L2099" s="196" t="str">
        <v xml:space="preserve"> 28.25</v>
      </c>
      <c r="M2099" s="196"/>
    </row>
    <row r="2100" spans="1:13" ht="14.4" x14ac:dyDescent="0.3">
      <c r="A2100" s="189" t="str">
        <f ca="1">IFERROR(__xludf.DUMMYFUNCTION("""COMPUTED_VALUE"""),"W")</f>
        <v>W</v>
      </c>
      <c r="B2100" s="197" t="str">
        <f ca="1">IFERROR(__xludf.DUMMYFUNCTION("""COMPUTED_VALUE"""),"Luis Peter Fernandez")</f>
        <v>Luis Peter Fernandez</v>
      </c>
      <c r="C2100" s="189">
        <f ca="1">IFERROR(__xludf.DUMMYFUNCTION("""COMPUTED_VALUE"""),8)</f>
        <v>8</v>
      </c>
      <c r="D2100" s="189" t="str">
        <f ca="1">IFERROR(__xludf.DUMMYFUNCTION("""COMPUTED_VALUE"""),"B")</f>
        <v>B</v>
      </c>
      <c r="E2100" s="189" t="str">
        <f ca="1">IFERROR(__xludf.DUMMYFUNCTION("""COMPUTED_VALUE"""),"F")</f>
        <v>F</v>
      </c>
      <c r="F2100" s="189" t="str">
        <f ca="1">IFERROR(__xludf.DUMMYFUNCTION("""COMPUTED_VALUE"""),"J")</f>
        <v>J</v>
      </c>
      <c r="G2100" s="189">
        <f ca="1">IFERROR(__xludf.DUMMYFUNCTION("""COMPUTED_VALUE"""),4)</f>
        <v>4</v>
      </c>
      <c r="H2100" s="196"/>
      <c r="I2100" s="196"/>
      <c r="J2100" s="196"/>
      <c r="K2100" s="196"/>
      <c r="L2100" s="196" t="str">
        <v/>
      </c>
      <c r="M2100" s="196"/>
    </row>
    <row r="2101" spans="1:13" ht="14.4" x14ac:dyDescent="0.3">
      <c r="A2101" s="189" t="str">
        <f ca="1">IFERROR(__xludf.DUMMYFUNCTION("""COMPUTED_VALUE"""),"W")</f>
        <v>W</v>
      </c>
      <c r="B2101" s="197" t="str">
        <f ca="1">IFERROR(__xludf.DUMMYFUNCTION("""COMPUTED_VALUE"""),"Orion Bigby")</f>
        <v>Orion Bigby</v>
      </c>
      <c r="C2101" s="189">
        <f ca="1">IFERROR(__xludf.DUMMYFUNCTION("""COMPUTED_VALUE"""),7)</f>
        <v>7</v>
      </c>
      <c r="D2101" s="189" t="str">
        <f ca="1">IFERROR(__xludf.DUMMYFUNCTION("""COMPUTED_VALUE"""),"B")</f>
        <v>B</v>
      </c>
      <c r="E2101" s="189" t="str">
        <f ca="1">IFERROR(__xludf.DUMMYFUNCTION("""COMPUTED_VALUE"""),"F")</f>
        <v>F</v>
      </c>
      <c r="F2101" s="189" t="str">
        <f ca="1">IFERROR(__xludf.DUMMYFUNCTION("""COMPUTED_VALUE"""),"J")</f>
        <v>J</v>
      </c>
      <c r="G2101" s="189">
        <f ca="1">IFERROR(__xludf.DUMMYFUNCTION("""COMPUTED_VALUE"""),4)</f>
        <v>4</v>
      </c>
      <c r="H2101" s="196"/>
      <c r="I2101" s="196"/>
      <c r="J2101" s="196"/>
      <c r="K2101" s="196"/>
      <c r="L2101" s="196" t="str">
        <v/>
      </c>
      <c r="M2101" s="196"/>
    </row>
    <row r="2102" spans="1:13" ht="14.4" x14ac:dyDescent="0.3">
      <c r="A2102" s="189" t="str">
        <f ca="1">IFERROR(__xludf.DUMMYFUNCTION("""COMPUTED_VALUE"""),"W")</f>
        <v>W</v>
      </c>
      <c r="B2102" s="197" t="str">
        <f ca="1">IFERROR(__xludf.DUMMYFUNCTION("""COMPUTED_VALUE"""),"Tobin Boulter")</f>
        <v>Tobin Boulter</v>
      </c>
      <c r="C2102" s="189">
        <f ca="1">IFERROR(__xludf.DUMMYFUNCTION("""COMPUTED_VALUE"""),8)</f>
        <v>8</v>
      </c>
      <c r="D2102" s="189" t="str">
        <f ca="1">IFERROR(__xludf.DUMMYFUNCTION("""COMPUTED_VALUE"""),"B")</f>
        <v>B</v>
      </c>
      <c r="E2102" s="189" t="str">
        <f ca="1">IFERROR(__xludf.DUMMYFUNCTION("""COMPUTED_VALUE"""),"F")</f>
        <v>F</v>
      </c>
      <c r="F2102" s="189" t="str">
        <f ca="1">IFERROR(__xludf.DUMMYFUNCTION("""COMPUTED_VALUE"""),"J")</f>
        <v>J</v>
      </c>
      <c r="G2102" s="189">
        <f ca="1">IFERROR(__xludf.DUMMYFUNCTION("""COMPUTED_VALUE"""),4)</f>
        <v>4</v>
      </c>
      <c r="H2102" s="196" t="s">
        <v>821</v>
      </c>
      <c r="I2102" s="196"/>
      <c r="J2102" s="196" t="s">
        <v>29</v>
      </c>
      <c r="K2102" s="196"/>
      <c r="L2102" s="196" t="str">
        <v xml:space="preserve"> 51.30</v>
      </c>
      <c r="M2102" s="196"/>
    </row>
    <row r="2103" spans="1:13" ht="14.4" x14ac:dyDescent="0.3">
      <c r="A2103" s="189" t="str">
        <f ca="1">IFERROR(__xludf.DUMMYFUNCTION("""COMPUTED_VALUE"""),"W")</f>
        <v>W</v>
      </c>
      <c r="B2103" s="197" t="str">
        <f ca="1">IFERROR(__xludf.DUMMYFUNCTION("""COMPUTED_VALUE"""),"Zach Lum")</f>
        <v>Zach Lum</v>
      </c>
      <c r="C2103" s="189">
        <f ca="1">IFERROR(__xludf.DUMMYFUNCTION("""COMPUTED_VALUE"""),10)</f>
        <v>10</v>
      </c>
      <c r="D2103" s="189" t="str">
        <f ca="1">IFERROR(__xludf.DUMMYFUNCTION("""COMPUTED_VALUE"""),"B")</f>
        <v>B</v>
      </c>
      <c r="E2103" s="189" t="str">
        <f ca="1">IFERROR(__xludf.DUMMYFUNCTION("""COMPUTED_VALUE"""),"F")</f>
        <v>F</v>
      </c>
      <c r="F2103" s="189" t="str">
        <f ca="1">IFERROR(__xludf.DUMMYFUNCTION("""COMPUTED_VALUE"""),"J")</f>
        <v>J</v>
      </c>
      <c r="G2103" s="189">
        <f ca="1">IFERROR(__xludf.DUMMYFUNCTION("""COMPUTED_VALUE"""),4)</f>
        <v>4</v>
      </c>
      <c r="H2103" s="196" t="s">
        <v>822</v>
      </c>
      <c r="I2103" s="196"/>
      <c r="J2103" s="196" t="s">
        <v>64</v>
      </c>
      <c r="K2103" s="196"/>
      <c r="L2103" s="196" t="str">
        <v xml:space="preserve"> -76.35</v>
      </c>
      <c r="M2103" s="196"/>
    </row>
    <row r="2104" spans="1:13" ht="14.4" x14ac:dyDescent="0.3">
      <c r="A2104" s="189" t="str">
        <f ca="1">IFERROR(__xludf.DUMMYFUNCTION("""COMPUTED_VALUE"""),"W")</f>
        <v>W</v>
      </c>
      <c r="B2104" s="197" t="str">
        <f ca="1">IFERROR(__xludf.DUMMYFUNCTION("""COMPUTED_VALUE"""),"Elin Temme")</f>
        <v>Elin Temme</v>
      </c>
      <c r="C2104" s="189">
        <f ca="1">IFERROR(__xludf.DUMMYFUNCTION("""COMPUTED_VALUE"""),13)</f>
        <v>13</v>
      </c>
      <c r="D2104" s="189" t="str">
        <f ca="1">IFERROR(__xludf.DUMMYFUNCTION("""COMPUTED_VALUE"""),"G")</f>
        <v>G</v>
      </c>
      <c r="E2104" s="189" t="str">
        <f ca="1">IFERROR(__xludf.DUMMYFUNCTION("""COMPUTED_VALUE"""),"I")</f>
        <v>I</v>
      </c>
      <c r="F2104" s="189" t="str">
        <f ca="1">IFERROR(__xludf.DUMMYFUNCTION("""COMPUTED_VALUE"""),"S")</f>
        <v>S</v>
      </c>
      <c r="G2104" s="189">
        <f ca="1">IFERROR(__xludf.DUMMYFUNCTION("""COMPUTED_VALUE"""),4)</f>
        <v>4</v>
      </c>
      <c r="H2104" s="196"/>
      <c r="I2104" s="196"/>
      <c r="J2104" s="196"/>
      <c r="K2104" s="196"/>
      <c r="L2104" s="196" t="str">
        <v/>
      </c>
      <c r="M2104" s="196"/>
    </row>
    <row r="2105" spans="1:13" ht="14.4" x14ac:dyDescent="0.3">
      <c r="A2105" s="189" t="str">
        <f ca="1">IFERROR(__xludf.DUMMYFUNCTION("""COMPUTED_VALUE"""),"W")</f>
        <v>W</v>
      </c>
      <c r="B2105" s="197" t="str">
        <f ca="1">IFERROR(__xludf.DUMMYFUNCTION("""COMPUTED_VALUE"""),"Eliza Pollack")</f>
        <v>Eliza Pollack</v>
      </c>
      <c r="C2105" s="189">
        <f ca="1">IFERROR(__xludf.DUMMYFUNCTION("""COMPUTED_VALUE"""),13)</f>
        <v>13</v>
      </c>
      <c r="D2105" s="189" t="str">
        <f ca="1">IFERROR(__xludf.DUMMYFUNCTION("""COMPUTED_VALUE"""),"G")</f>
        <v>G</v>
      </c>
      <c r="E2105" s="189" t="str">
        <f ca="1">IFERROR(__xludf.DUMMYFUNCTION("""COMPUTED_VALUE"""),"I")</f>
        <v>I</v>
      </c>
      <c r="F2105" s="189" t="str">
        <f ca="1">IFERROR(__xludf.DUMMYFUNCTION("""COMPUTED_VALUE"""),"S")</f>
        <v>S</v>
      </c>
      <c r="G2105" s="189">
        <f ca="1">IFERROR(__xludf.DUMMYFUNCTION("""COMPUTED_VALUE"""),4)</f>
        <v>4</v>
      </c>
      <c r="H2105" s="196" t="s">
        <v>313</v>
      </c>
      <c r="I2105" s="196"/>
      <c r="J2105" s="196" t="s">
        <v>29</v>
      </c>
      <c r="K2105" s="196"/>
      <c r="L2105" s="196" t="str">
        <v xml:space="preserve"> 120.85</v>
      </c>
      <c r="M2105" s="196"/>
    </row>
    <row r="2106" spans="1:13" ht="14.4" x14ac:dyDescent="0.3">
      <c r="A2106" s="189" t="str">
        <f ca="1">IFERROR(__xludf.DUMMYFUNCTION("""COMPUTED_VALUE"""),"W")</f>
        <v>W</v>
      </c>
      <c r="B2106" s="197" t="str">
        <f ca="1">IFERROR(__xludf.DUMMYFUNCTION("""COMPUTED_VALUE"""),"Emily Ahern")</f>
        <v>Emily Ahern</v>
      </c>
      <c r="C2106" s="189">
        <f ca="1">IFERROR(__xludf.DUMMYFUNCTION("""COMPUTED_VALUE"""),13)</f>
        <v>13</v>
      </c>
      <c r="D2106" s="189" t="str">
        <f ca="1">IFERROR(__xludf.DUMMYFUNCTION("""COMPUTED_VALUE"""),"G")</f>
        <v>G</v>
      </c>
      <c r="E2106" s="189" t="str">
        <f ca="1">IFERROR(__xludf.DUMMYFUNCTION("""COMPUTED_VALUE"""),"I")</f>
        <v>I</v>
      </c>
      <c r="F2106" s="189" t="str">
        <f ca="1">IFERROR(__xludf.DUMMYFUNCTION("""COMPUTED_VALUE"""),"S")</f>
        <v>S</v>
      </c>
      <c r="G2106" s="189">
        <f ca="1">IFERROR(__xludf.DUMMYFUNCTION("""COMPUTED_VALUE"""),4)</f>
        <v>4</v>
      </c>
      <c r="H2106" s="196" t="s">
        <v>823</v>
      </c>
      <c r="I2106" s="196"/>
      <c r="J2106" s="196" t="s">
        <v>29</v>
      </c>
      <c r="K2106" s="196"/>
      <c r="L2106" s="196" t="str">
        <v xml:space="preserve"> 82.90</v>
      </c>
      <c r="M2106" s="196"/>
    </row>
    <row r="2107" spans="1:13" ht="14.4" x14ac:dyDescent="0.3">
      <c r="A2107" s="189" t="str">
        <f ca="1">IFERROR(__xludf.DUMMYFUNCTION("""COMPUTED_VALUE"""),"W")</f>
        <v>W</v>
      </c>
      <c r="B2107" s="197" t="str">
        <f ca="1">IFERROR(__xludf.DUMMYFUNCTION("""COMPUTED_VALUE"""),"Evet Tran")</f>
        <v>Evet Tran</v>
      </c>
      <c r="C2107" s="189">
        <f ca="1">IFERROR(__xludf.DUMMYFUNCTION("""COMPUTED_VALUE"""),13)</f>
        <v>13</v>
      </c>
      <c r="D2107" s="189" t="str">
        <f ca="1">IFERROR(__xludf.DUMMYFUNCTION("""COMPUTED_VALUE"""),"G")</f>
        <v>G</v>
      </c>
      <c r="E2107" s="189" t="str">
        <f ca="1">IFERROR(__xludf.DUMMYFUNCTION("""COMPUTED_VALUE"""),"I")</f>
        <v>I</v>
      </c>
      <c r="F2107" s="189" t="str">
        <f ca="1">IFERROR(__xludf.DUMMYFUNCTION("""COMPUTED_VALUE"""),"S")</f>
        <v>S</v>
      </c>
      <c r="G2107" s="189">
        <f ca="1">IFERROR(__xludf.DUMMYFUNCTION("""COMPUTED_VALUE"""),4)</f>
        <v>4</v>
      </c>
      <c r="H2107" s="196"/>
      <c r="I2107" s="196"/>
      <c r="J2107" s="196"/>
      <c r="K2107" s="196"/>
      <c r="L2107" s="196" t="str">
        <v/>
      </c>
      <c r="M2107" s="196"/>
    </row>
    <row r="2108" spans="1:13" ht="14.4" x14ac:dyDescent="0.3">
      <c r="A2108" s="189" t="str">
        <f ca="1">IFERROR(__xludf.DUMMYFUNCTION("""COMPUTED_VALUE"""),"W")</f>
        <v>W</v>
      </c>
      <c r="B2108" s="197" t="str">
        <f ca="1">IFERROR(__xludf.DUMMYFUNCTION("""COMPUTED_VALUE"""),"Miriam Stavlund")</f>
        <v>Miriam Stavlund</v>
      </c>
      <c r="C2108" s="189">
        <f ca="1">IFERROR(__xludf.DUMMYFUNCTION("""COMPUTED_VALUE"""),13)</f>
        <v>13</v>
      </c>
      <c r="D2108" s="189" t="str">
        <f ca="1">IFERROR(__xludf.DUMMYFUNCTION("""COMPUTED_VALUE"""),"G")</f>
        <v>G</v>
      </c>
      <c r="E2108" s="189" t="str">
        <f ca="1">IFERROR(__xludf.DUMMYFUNCTION("""COMPUTED_VALUE"""),"I")</f>
        <v>I</v>
      </c>
      <c r="F2108" s="189" t="str">
        <f ca="1">IFERROR(__xludf.DUMMYFUNCTION("""COMPUTED_VALUE"""),"S")</f>
        <v>S</v>
      </c>
      <c r="G2108" s="189">
        <f ca="1">IFERROR(__xludf.DUMMYFUNCTION("""COMPUTED_VALUE"""),4)</f>
        <v>4</v>
      </c>
      <c r="H2108" s="196"/>
      <c r="I2108" s="196"/>
      <c r="J2108" s="196"/>
      <c r="K2108" s="196"/>
      <c r="L2108" s="196" t="str">
        <v/>
      </c>
      <c r="M2108" s="196"/>
    </row>
    <row r="2109" spans="1:13" ht="14.4" x14ac:dyDescent="0.3">
      <c r="A2109" s="189" t="str">
        <f ca="1">IFERROR(__xludf.DUMMYFUNCTION("""COMPUTED_VALUE"""),"W")</f>
        <v>W</v>
      </c>
      <c r="B2109" s="197" t="str">
        <f ca="1">IFERROR(__xludf.DUMMYFUNCTION("""COMPUTED_VALUE"""),"Rylan Woods")</f>
        <v>Rylan Woods</v>
      </c>
      <c r="C2109" s="189">
        <f ca="1">IFERROR(__xludf.DUMMYFUNCTION("""COMPUTED_VALUE"""),13)</f>
        <v>13</v>
      </c>
      <c r="D2109" s="189" t="str">
        <f ca="1">IFERROR(__xludf.DUMMYFUNCTION("""COMPUTED_VALUE"""),"G")</f>
        <v>G</v>
      </c>
      <c r="E2109" s="189" t="str">
        <f ca="1">IFERROR(__xludf.DUMMYFUNCTION("""COMPUTED_VALUE"""),"I")</f>
        <v>I</v>
      </c>
      <c r="F2109" s="189" t="str">
        <f ca="1">IFERROR(__xludf.DUMMYFUNCTION("""COMPUTED_VALUE"""),"S")</f>
        <v>S</v>
      </c>
      <c r="G2109" s="189">
        <f ca="1">IFERROR(__xludf.DUMMYFUNCTION("""COMPUTED_VALUE"""),4)</f>
        <v>4</v>
      </c>
      <c r="H2109" s="196"/>
      <c r="I2109" s="196"/>
      <c r="J2109" s="196"/>
      <c r="K2109" s="196"/>
      <c r="L2109" s="196" t="str">
        <v/>
      </c>
      <c r="M2109" s="196"/>
    </row>
    <row r="2110" spans="1:13" ht="14.4" x14ac:dyDescent="0.3">
      <c r="A2110" s="189" t="str">
        <f ca="1">IFERROR(__xludf.DUMMYFUNCTION("""COMPUTED_VALUE"""),"W")</f>
        <v>W</v>
      </c>
      <c r="B2110" s="197" t="str">
        <f ca="1">IFERROR(__xludf.DUMMYFUNCTION("""COMPUTED_VALUE"""),"Tennley Jackson")</f>
        <v>Tennley Jackson</v>
      </c>
      <c r="C2110" s="189">
        <f ca="1">IFERROR(__xludf.DUMMYFUNCTION("""COMPUTED_VALUE"""),13)</f>
        <v>13</v>
      </c>
      <c r="D2110" s="189" t="str">
        <f ca="1">IFERROR(__xludf.DUMMYFUNCTION("""COMPUTED_VALUE"""),"G")</f>
        <v>G</v>
      </c>
      <c r="E2110" s="189" t="str">
        <f ca="1">IFERROR(__xludf.DUMMYFUNCTION("""COMPUTED_VALUE"""),"I")</f>
        <v>I</v>
      </c>
      <c r="F2110" s="189" t="str">
        <f ca="1">IFERROR(__xludf.DUMMYFUNCTION("""COMPUTED_VALUE"""),"S")</f>
        <v>S</v>
      </c>
      <c r="G2110" s="189">
        <f ca="1">IFERROR(__xludf.DUMMYFUNCTION("""COMPUTED_VALUE"""),4)</f>
        <v>4</v>
      </c>
      <c r="H2110" s="196"/>
      <c r="I2110" s="196"/>
      <c r="J2110" s="196"/>
      <c r="K2110" s="196"/>
      <c r="L2110" s="196" t="str">
        <v/>
      </c>
      <c r="M2110" s="196"/>
    </row>
    <row r="2111" spans="1:13" ht="14.4" x14ac:dyDescent="0.3">
      <c r="A2111" s="189" t="str">
        <f ca="1">IFERROR(__xludf.DUMMYFUNCTION("""COMPUTED_VALUE"""),"W")</f>
        <v>W</v>
      </c>
      <c r="B2111" s="197" t="str">
        <f ca="1">IFERROR(__xludf.DUMMYFUNCTION("""COMPUTED_VALUE"""),"Alex Lum")</f>
        <v>Alex Lum</v>
      </c>
      <c r="C2111" s="189">
        <f ca="1">IFERROR(__xludf.DUMMYFUNCTION("""COMPUTED_VALUE"""),13)</f>
        <v>13</v>
      </c>
      <c r="D2111" s="189" t="str">
        <f ca="1">IFERROR(__xludf.DUMMYFUNCTION("""COMPUTED_VALUE"""),"B")</f>
        <v>B</v>
      </c>
      <c r="E2111" s="189" t="str">
        <f ca="1">IFERROR(__xludf.DUMMYFUNCTION("""COMPUTED_VALUE"""),"I")</f>
        <v>I</v>
      </c>
      <c r="F2111" s="189" t="str">
        <f ca="1">IFERROR(__xludf.DUMMYFUNCTION("""COMPUTED_VALUE"""),"S")</f>
        <v>S</v>
      </c>
      <c r="G2111" s="189">
        <f ca="1">IFERROR(__xludf.DUMMYFUNCTION("""COMPUTED_VALUE"""),4)</f>
        <v>4</v>
      </c>
      <c r="H2111" s="196" t="s">
        <v>824</v>
      </c>
      <c r="I2111" s="196"/>
      <c r="J2111" s="196" t="s">
        <v>29</v>
      </c>
      <c r="K2111" s="196"/>
      <c r="L2111" s="196" t="str">
        <v xml:space="preserve"> 117.95</v>
      </c>
      <c r="M2111" s="196"/>
    </row>
    <row r="2112" spans="1:13" ht="14.4" x14ac:dyDescent="0.3">
      <c r="A2112" s="189" t="str">
        <f ca="1">IFERROR(__xludf.DUMMYFUNCTION("""COMPUTED_VALUE"""),"W")</f>
        <v>W</v>
      </c>
      <c r="B2112" s="197" t="str">
        <f ca="1">IFERROR(__xludf.DUMMYFUNCTION("""COMPUTED_VALUE"""),"Asa Keller")</f>
        <v>Asa Keller</v>
      </c>
      <c r="C2112" s="189">
        <f ca="1">IFERROR(__xludf.DUMMYFUNCTION("""COMPUTED_VALUE"""),13)</f>
        <v>13</v>
      </c>
      <c r="D2112" s="189" t="str">
        <f ca="1">IFERROR(__xludf.DUMMYFUNCTION("""COMPUTED_VALUE"""),"B")</f>
        <v>B</v>
      </c>
      <c r="E2112" s="189" t="str">
        <f ca="1">IFERROR(__xludf.DUMMYFUNCTION("""COMPUTED_VALUE"""),"I")</f>
        <v>I</v>
      </c>
      <c r="F2112" s="189" t="str">
        <f ca="1">IFERROR(__xludf.DUMMYFUNCTION("""COMPUTED_VALUE"""),"S")</f>
        <v>S</v>
      </c>
      <c r="G2112" s="189">
        <f ca="1">IFERROR(__xludf.DUMMYFUNCTION("""COMPUTED_VALUE"""),4)</f>
        <v>4</v>
      </c>
      <c r="H2112" s="196" t="s">
        <v>825</v>
      </c>
      <c r="I2112" s="196"/>
      <c r="J2112" s="196" t="s">
        <v>29</v>
      </c>
      <c r="K2112" s="196"/>
      <c r="L2112" s="196" t="str">
        <v xml:space="preserve"> 59.35</v>
      </c>
      <c r="M2112" s="196"/>
    </row>
    <row r="2113" spans="1:13" ht="14.4" x14ac:dyDescent="0.3">
      <c r="A2113" s="189" t="str">
        <f ca="1">IFERROR(__xludf.DUMMYFUNCTION("""COMPUTED_VALUE"""),"W")</f>
        <v>W</v>
      </c>
      <c r="B2113" s="197" t="str">
        <f ca="1">IFERROR(__xludf.DUMMYFUNCTION("""COMPUTED_VALUE"""),"Ben Pollack")</f>
        <v>Ben Pollack</v>
      </c>
      <c r="C2113" s="189">
        <f ca="1">IFERROR(__xludf.DUMMYFUNCTION("""COMPUTED_VALUE"""),14)</f>
        <v>14</v>
      </c>
      <c r="D2113" s="189" t="str">
        <f ca="1">IFERROR(__xludf.DUMMYFUNCTION("""COMPUTED_VALUE"""),"B")</f>
        <v>B</v>
      </c>
      <c r="E2113" s="189" t="str">
        <f ca="1">IFERROR(__xludf.DUMMYFUNCTION("""COMPUTED_VALUE"""),"I")</f>
        <v>I</v>
      </c>
      <c r="F2113" s="189" t="str">
        <f ca="1">IFERROR(__xludf.DUMMYFUNCTION("""COMPUTED_VALUE"""),"S")</f>
        <v>S</v>
      </c>
      <c r="G2113" s="189">
        <f ca="1">IFERROR(__xludf.DUMMYFUNCTION("""COMPUTED_VALUE"""),4)</f>
        <v>4</v>
      </c>
      <c r="H2113" s="196" t="s">
        <v>826</v>
      </c>
      <c r="I2113" s="196"/>
      <c r="J2113" s="196" t="s">
        <v>29</v>
      </c>
      <c r="K2113" s="196"/>
      <c r="L2113" s="196" t="str">
        <v xml:space="preserve"> 88.20</v>
      </c>
      <c r="M2113" s="196"/>
    </row>
    <row r="2114" spans="1:13" ht="14.4" x14ac:dyDescent="0.3">
      <c r="A2114" s="189" t="str">
        <f ca="1">IFERROR(__xludf.DUMMYFUNCTION("""COMPUTED_VALUE"""),"W")</f>
        <v>W</v>
      </c>
      <c r="B2114" s="197" t="str">
        <f ca="1">IFERROR(__xludf.DUMMYFUNCTION("""COMPUTED_VALUE"""),"Hynes Tran")</f>
        <v>Hynes Tran</v>
      </c>
      <c r="C2114" s="189">
        <f ca="1">IFERROR(__xludf.DUMMYFUNCTION("""COMPUTED_VALUE"""),14)</f>
        <v>14</v>
      </c>
      <c r="D2114" s="189" t="str">
        <f ca="1">IFERROR(__xludf.DUMMYFUNCTION("""COMPUTED_VALUE"""),"B")</f>
        <v>B</v>
      </c>
      <c r="E2114" s="189" t="str">
        <f ca="1">IFERROR(__xludf.DUMMYFUNCTION("""COMPUTED_VALUE"""),"I")</f>
        <v>I</v>
      </c>
      <c r="F2114" s="189" t="str">
        <f ca="1">IFERROR(__xludf.DUMMYFUNCTION("""COMPUTED_VALUE"""),"S")</f>
        <v>S</v>
      </c>
      <c r="G2114" s="189">
        <f ca="1">IFERROR(__xludf.DUMMYFUNCTION("""COMPUTED_VALUE"""),4)</f>
        <v>4</v>
      </c>
      <c r="H2114" s="196"/>
      <c r="I2114" s="196"/>
      <c r="J2114" s="196"/>
      <c r="K2114" s="196"/>
      <c r="L2114" s="196" t="str">
        <v/>
      </c>
      <c r="M2114" s="196"/>
    </row>
    <row r="2115" spans="1:13" ht="14.4" x14ac:dyDescent="0.3">
      <c r="A2115" s="189" t="str">
        <f ca="1">IFERROR(__xludf.DUMMYFUNCTION("""COMPUTED_VALUE"""),"W")</f>
        <v>W</v>
      </c>
      <c r="B2115" s="197" t="str">
        <f ca="1">IFERROR(__xludf.DUMMYFUNCTION("""COMPUTED_VALUE"""),"Optimus Bigby")</f>
        <v>Optimus Bigby</v>
      </c>
      <c r="C2115" s="189">
        <f ca="1">IFERROR(__xludf.DUMMYFUNCTION("""COMPUTED_VALUE"""),13)</f>
        <v>13</v>
      </c>
      <c r="D2115" s="189" t="str">
        <f ca="1">IFERROR(__xludf.DUMMYFUNCTION("""COMPUTED_VALUE"""),"B")</f>
        <v>B</v>
      </c>
      <c r="E2115" s="189" t="str">
        <f ca="1">IFERROR(__xludf.DUMMYFUNCTION("""COMPUTED_VALUE"""),"I")</f>
        <v>I</v>
      </c>
      <c r="F2115" s="189" t="str">
        <f ca="1">IFERROR(__xludf.DUMMYFUNCTION("""COMPUTED_VALUE"""),"S")</f>
        <v>S</v>
      </c>
      <c r="G2115" s="189">
        <f ca="1">IFERROR(__xludf.DUMMYFUNCTION("""COMPUTED_VALUE"""),4)</f>
        <v>4</v>
      </c>
      <c r="H2115" s="196" t="s">
        <v>827</v>
      </c>
      <c r="I2115" s="196"/>
      <c r="J2115" s="196" t="s">
        <v>29</v>
      </c>
      <c r="K2115" s="196"/>
      <c r="L2115" s="196" t="str">
        <v xml:space="preserve"> 68.45</v>
      </c>
      <c r="M2115" s="196"/>
    </row>
    <row r="2116" spans="1:13" ht="14.4" x14ac:dyDescent="0.3">
      <c r="A2116" s="189" t="str">
        <f ca="1">IFERROR(__xludf.DUMMYFUNCTION("""COMPUTED_VALUE"""),"W")</f>
        <v>W</v>
      </c>
      <c r="B2116" s="197" t="str">
        <f ca="1">IFERROR(__xludf.DUMMYFUNCTION("""COMPUTED_VALUE"""),"Eloise Jones")</f>
        <v>Eloise Jones</v>
      </c>
      <c r="C2116" s="189">
        <f ca="1">IFERROR(__xludf.DUMMYFUNCTION("""COMPUTED_VALUE"""),11)</f>
        <v>11</v>
      </c>
      <c r="D2116" s="189" t="str">
        <f ca="1">IFERROR(__xludf.DUMMYFUNCTION("""COMPUTED_VALUE"""),"G")</f>
        <v>G</v>
      </c>
      <c r="E2116" s="189" t="str">
        <f ca="1">IFERROR(__xludf.DUMMYFUNCTION("""COMPUTED_VALUE"""),"J")</f>
        <v>J</v>
      </c>
      <c r="F2116" s="189" t="str">
        <f ca="1">IFERROR(__xludf.DUMMYFUNCTION("""COMPUTED_VALUE"""),"I")</f>
        <v>I</v>
      </c>
      <c r="G2116" s="189">
        <f ca="1">IFERROR(__xludf.DUMMYFUNCTION("""COMPUTED_VALUE"""),4)</f>
        <v>4</v>
      </c>
      <c r="H2116" s="196"/>
      <c r="I2116" s="196"/>
      <c r="J2116" s="196"/>
      <c r="K2116" s="196"/>
      <c r="L2116" s="196" t="str">
        <v/>
      </c>
      <c r="M2116" s="196"/>
    </row>
    <row r="2117" spans="1:13" ht="14.4" x14ac:dyDescent="0.3">
      <c r="A2117" s="189" t="str">
        <f ca="1">IFERROR(__xludf.DUMMYFUNCTION("""COMPUTED_VALUE"""),"W")</f>
        <v>W</v>
      </c>
      <c r="B2117" s="197" t="str">
        <f ca="1">IFERROR(__xludf.DUMMYFUNCTION("""COMPUTED_VALUE"""),"Evan Ringle")</f>
        <v>Evan Ringle</v>
      </c>
      <c r="C2117" s="189">
        <f ca="1">IFERROR(__xludf.DUMMYFUNCTION("""COMPUTED_VALUE"""),12)</f>
        <v>12</v>
      </c>
      <c r="D2117" s="189" t="str">
        <f ca="1">IFERROR(__xludf.DUMMYFUNCTION("""COMPUTED_VALUE"""),"G")</f>
        <v>G</v>
      </c>
      <c r="E2117" s="189" t="str">
        <f ca="1">IFERROR(__xludf.DUMMYFUNCTION("""COMPUTED_VALUE"""),"J")</f>
        <v>J</v>
      </c>
      <c r="F2117" s="189" t="str">
        <f ca="1">IFERROR(__xludf.DUMMYFUNCTION("""COMPUTED_VALUE"""),"I")</f>
        <v>I</v>
      </c>
      <c r="G2117" s="189">
        <f ca="1">IFERROR(__xludf.DUMMYFUNCTION("""COMPUTED_VALUE"""),4)</f>
        <v>4</v>
      </c>
      <c r="H2117" s="196"/>
      <c r="I2117" s="196"/>
      <c r="J2117" s="196"/>
      <c r="K2117" s="196"/>
      <c r="L2117" s="196" t="str">
        <v/>
      </c>
      <c r="M2117" s="196"/>
    </row>
    <row r="2118" spans="1:13" ht="14.4" x14ac:dyDescent="0.3">
      <c r="A2118" s="189" t="str">
        <f ca="1">IFERROR(__xludf.DUMMYFUNCTION("""COMPUTED_VALUE"""),"W")</f>
        <v>W</v>
      </c>
      <c r="B2118" s="197" t="str">
        <f ca="1">IFERROR(__xludf.DUMMYFUNCTION("""COMPUTED_VALUE"""),"Olivia Ahern")</f>
        <v>Olivia Ahern</v>
      </c>
      <c r="C2118" s="189">
        <f ca="1">IFERROR(__xludf.DUMMYFUNCTION("""COMPUTED_VALUE"""),11)</f>
        <v>11</v>
      </c>
      <c r="D2118" s="189" t="str">
        <f ca="1">IFERROR(__xludf.DUMMYFUNCTION("""COMPUTED_VALUE"""),"G")</f>
        <v>G</v>
      </c>
      <c r="E2118" s="189" t="str">
        <f ca="1">IFERROR(__xludf.DUMMYFUNCTION("""COMPUTED_VALUE"""),"J")</f>
        <v>J</v>
      </c>
      <c r="F2118" s="189" t="str">
        <f ca="1">IFERROR(__xludf.DUMMYFUNCTION("""COMPUTED_VALUE"""),"I")</f>
        <v>I</v>
      </c>
      <c r="G2118" s="189">
        <f ca="1">IFERROR(__xludf.DUMMYFUNCTION("""COMPUTED_VALUE"""),4)</f>
        <v>4</v>
      </c>
      <c r="H2118" s="196" t="s">
        <v>828</v>
      </c>
      <c r="I2118" s="196"/>
      <c r="J2118" s="196" t="s">
        <v>29</v>
      </c>
      <c r="K2118" s="196"/>
      <c r="L2118" s="196" t="str">
        <v xml:space="preserve"> 65.40</v>
      </c>
      <c r="M2118" s="196"/>
    </row>
    <row r="2119" spans="1:13" ht="14.4" x14ac:dyDescent="0.3">
      <c r="A2119" s="189" t="str">
        <f ca="1">IFERROR(__xludf.DUMMYFUNCTION("""COMPUTED_VALUE"""),"W")</f>
        <v>W</v>
      </c>
      <c r="B2119" s="197" t="str">
        <f ca="1">IFERROR(__xludf.DUMMYFUNCTION("""COMPUTED_VALUE"""),"Sophia Niday")</f>
        <v>Sophia Niday</v>
      </c>
      <c r="C2119" s="189">
        <f ca="1">IFERROR(__xludf.DUMMYFUNCTION("""COMPUTED_VALUE"""),11)</f>
        <v>11</v>
      </c>
      <c r="D2119" s="189" t="str">
        <f ca="1">IFERROR(__xludf.DUMMYFUNCTION("""COMPUTED_VALUE"""),"G")</f>
        <v>G</v>
      </c>
      <c r="E2119" s="189" t="str">
        <f ca="1">IFERROR(__xludf.DUMMYFUNCTION("""COMPUTED_VALUE"""),"J")</f>
        <v>J</v>
      </c>
      <c r="F2119" s="189" t="str">
        <f ca="1">IFERROR(__xludf.DUMMYFUNCTION("""COMPUTED_VALUE"""),"I")</f>
        <v>I</v>
      </c>
      <c r="G2119" s="189">
        <f ca="1">IFERROR(__xludf.DUMMYFUNCTION("""COMPUTED_VALUE"""),4)</f>
        <v>4</v>
      </c>
      <c r="H2119" s="196" t="s">
        <v>829</v>
      </c>
      <c r="I2119" s="196"/>
      <c r="J2119" s="196" t="s">
        <v>29</v>
      </c>
      <c r="K2119" s="196"/>
      <c r="L2119" s="196" t="str">
        <v xml:space="preserve"> 62.00</v>
      </c>
      <c r="M2119" s="196"/>
    </row>
    <row r="2120" spans="1:13" ht="14.4" x14ac:dyDescent="0.3">
      <c r="A2120" s="189" t="str">
        <f ca="1">IFERROR(__xludf.DUMMYFUNCTION("""COMPUTED_VALUE"""),"W")</f>
        <v>W</v>
      </c>
      <c r="B2120" s="197" t="str">
        <f ca="1">IFERROR(__xludf.DUMMYFUNCTION("""COMPUTED_VALUE"""),"MJ Whitecar")</f>
        <v>MJ Whitecar</v>
      </c>
      <c r="C2120" s="189">
        <f ca="1">IFERROR(__xludf.DUMMYFUNCTION("""COMPUTED_VALUE"""),12)</f>
        <v>12</v>
      </c>
      <c r="D2120" s="189" t="str">
        <f ca="1">IFERROR(__xludf.DUMMYFUNCTION("""COMPUTED_VALUE"""),"B")</f>
        <v>B</v>
      </c>
      <c r="E2120" s="189" t="str">
        <f ca="1">IFERROR(__xludf.DUMMYFUNCTION("""COMPUTED_VALUE"""),"J")</f>
        <v>J</v>
      </c>
      <c r="F2120" s="189" t="str">
        <f ca="1">IFERROR(__xludf.DUMMYFUNCTION("""COMPUTED_VALUE"""),"I")</f>
        <v>I</v>
      </c>
      <c r="G2120" s="189">
        <f ca="1">IFERROR(__xludf.DUMMYFUNCTION("""COMPUTED_VALUE"""),4)</f>
        <v>4</v>
      </c>
      <c r="H2120" s="196"/>
      <c r="I2120" s="196"/>
      <c r="J2120" s="196"/>
      <c r="K2120" s="196"/>
      <c r="L2120" s="196" t="str">
        <v/>
      </c>
      <c r="M2120" s="196"/>
    </row>
    <row r="2121" spans="1:13" ht="14.4" x14ac:dyDescent="0.3">
      <c r="A2121" s="189" t="str">
        <f ca="1">IFERROR(__xludf.DUMMYFUNCTION("""COMPUTED_VALUE"""),"W")</f>
        <v>W</v>
      </c>
      <c r="B2121" s="197" t="str">
        <f ca="1">IFERROR(__xludf.DUMMYFUNCTION("""COMPUTED_VALUE"""),"Elizabeth Bell")</f>
        <v>Elizabeth Bell</v>
      </c>
      <c r="C2121" s="189">
        <f ca="1">IFERROR(__xludf.DUMMYFUNCTION("""COMPUTED_VALUE"""),17)</f>
        <v>17</v>
      </c>
      <c r="D2121" s="189" t="str">
        <f ca="1">IFERROR(__xludf.DUMMYFUNCTION("""COMPUTED_VALUE"""),"G")</f>
        <v>G</v>
      </c>
      <c r="E2121" s="189" t="str">
        <f ca="1">IFERROR(__xludf.DUMMYFUNCTION("""COMPUTED_VALUE"""),"S")</f>
        <v>S</v>
      </c>
      <c r="F2121" s="189" t="str">
        <f ca="1">IFERROR(__xludf.DUMMYFUNCTION("""COMPUTED_VALUE"""),"S")</f>
        <v>S</v>
      </c>
      <c r="G2121" s="189">
        <f ca="1">IFERROR(__xludf.DUMMYFUNCTION("""COMPUTED_VALUE"""),4)</f>
        <v>4</v>
      </c>
      <c r="H2121" s="196" t="s">
        <v>830</v>
      </c>
      <c r="I2121" s="196"/>
      <c r="J2121" s="196" t="s">
        <v>29</v>
      </c>
      <c r="K2121" s="196"/>
      <c r="L2121" s="196" t="str">
        <v xml:space="preserve"> 150.20</v>
      </c>
      <c r="M2121" s="196"/>
    </row>
    <row r="2122" spans="1:13" ht="14.4" x14ac:dyDescent="0.3">
      <c r="A2122" s="189" t="str">
        <f ca="1">IFERROR(__xludf.DUMMYFUNCTION("""COMPUTED_VALUE"""),"W")</f>
        <v>W</v>
      </c>
      <c r="B2122" s="197" t="str">
        <f ca="1">IFERROR(__xludf.DUMMYFUNCTION("""COMPUTED_VALUE"""),"Caleb Hoover")</f>
        <v>Caleb Hoover</v>
      </c>
      <c r="C2122" s="189">
        <f ca="1">IFERROR(__xludf.DUMMYFUNCTION("""COMPUTED_VALUE"""),16)</f>
        <v>16</v>
      </c>
      <c r="D2122" s="189" t="str">
        <f ca="1">IFERROR(__xludf.DUMMYFUNCTION("""COMPUTED_VALUE"""),"B")</f>
        <v>B</v>
      </c>
      <c r="E2122" s="189" t="str">
        <f ca="1">IFERROR(__xludf.DUMMYFUNCTION("""COMPUTED_VALUE"""),"S")</f>
        <v>S</v>
      </c>
      <c r="F2122" s="189" t="str">
        <f ca="1">IFERROR(__xludf.DUMMYFUNCTION("""COMPUTED_VALUE"""),"S")</f>
        <v>S</v>
      </c>
      <c r="G2122" s="189">
        <f ca="1">IFERROR(__xludf.DUMMYFUNCTION("""COMPUTED_VALUE"""),4)</f>
        <v>4</v>
      </c>
      <c r="H2122" s="196" t="s">
        <v>831</v>
      </c>
      <c r="I2122" s="196"/>
      <c r="J2122" s="196" t="s">
        <v>29</v>
      </c>
      <c r="K2122" s="196"/>
      <c r="L2122" s="196" t="str">
        <v xml:space="preserve"> 130.95</v>
      </c>
      <c r="M2122" s="196"/>
    </row>
    <row r="2123" spans="1:13" ht="14.4" x14ac:dyDescent="0.3">
      <c r="A2123" s="189" t="str">
        <f ca="1">IFERROR(__xludf.DUMMYFUNCTION("""COMPUTED_VALUE"""),"W")</f>
        <v>W</v>
      </c>
      <c r="B2123" s="197" t="str">
        <f ca="1">IFERROR(__xludf.DUMMYFUNCTION("""COMPUTED_VALUE"""),"Currin Wilson")</f>
        <v>Currin Wilson</v>
      </c>
      <c r="C2123" s="189">
        <f ca="1">IFERROR(__xludf.DUMMYFUNCTION("""COMPUTED_VALUE"""),15)</f>
        <v>15</v>
      </c>
      <c r="D2123" s="189" t="str">
        <f ca="1">IFERROR(__xludf.DUMMYFUNCTION("""COMPUTED_VALUE"""),"B")</f>
        <v>B</v>
      </c>
      <c r="E2123" s="189" t="str">
        <f ca="1">IFERROR(__xludf.DUMMYFUNCTION("""COMPUTED_VALUE"""),"S")</f>
        <v>S</v>
      </c>
      <c r="F2123" s="189" t="str">
        <f ca="1">IFERROR(__xludf.DUMMYFUNCTION("""COMPUTED_VALUE"""),"S")</f>
        <v>S</v>
      </c>
      <c r="G2123" s="189">
        <f ca="1">IFERROR(__xludf.DUMMYFUNCTION("""COMPUTED_VALUE"""),4)</f>
        <v>4</v>
      </c>
      <c r="H2123" s="196" t="s">
        <v>155</v>
      </c>
      <c r="I2123" s="196"/>
      <c r="J2123" s="196" t="s">
        <v>29</v>
      </c>
      <c r="K2123" s="196"/>
      <c r="L2123" s="196" t="str">
        <v xml:space="preserve"> 84.35</v>
      </c>
      <c r="M2123" s="196"/>
    </row>
    <row r="2124" spans="1:13" ht="14.4" x14ac:dyDescent="0.3">
      <c r="A2124" s="189" t="str">
        <f ca="1">IFERROR(__xludf.DUMMYFUNCTION("""COMPUTED_VALUE"""),"W")</f>
        <v>W</v>
      </c>
      <c r="B2124" s="197" t="str">
        <f ca="1">IFERROR(__xludf.DUMMYFUNCTION("""COMPUTED_VALUE"""),"Zach Napoli")</f>
        <v>Zach Napoli</v>
      </c>
      <c r="C2124" s="189">
        <f ca="1">IFERROR(__xludf.DUMMYFUNCTION("""COMPUTED_VALUE"""),15)</f>
        <v>15</v>
      </c>
      <c r="D2124" s="189" t="str">
        <f ca="1">IFERROR(__xludf.DUMMYFUNCTION("""COMPUTED_VALUE"""),"B")</f>
        <v>B</v>
      </c>
      <c r="E2124" s="189" t="str">
        <f ca="1">IFERROR(__xludf.DUMMYFUNCTION("""COMPUTED_VALUE"""),"S")</f>
        <v>S</v>
      </c>
      <c r="F2124" s="189" t="str">
        <f ca="1">IFERROR(__xludf.DUMMYFUNCTION("""COMPUTED_VALUE"""),"S")</f>
        <v>S</v>
      </c>
      <c r="G2124" s="189">
        <f ca="1">IFERROR(__xludf.DUMMYFUNCTION("""COMPUTED_VALUE"""),4)</f>
        <v>4</v>
      </c>
      <c r="H2124" s="196" t="s">
        <v>832</v>
      </c>
      <c r="I2124" s="196"/>
      <c r="J2124" s="196" t="s">
        <v>29</v>
      </c>
      <c r="K2124" s="196"/>
      <c r="L2124" s="196" t="str">
        <v xml:space="preserve"> 95.65</v>
      </c>
      <c r="M2124" s="196"/>
    </row>
    <row r="2125" spans="1:13" ht="14.4" x14ac:dyDescent="0.3">
      <c r="A2125" s="189" t="str">
        <f ca="1">IFERROR(__xludf.DUMMYFUNCTION("""COMPUTED_VALUE"""),"WC")</f>
        <v>WC</v>
      </c>
      <c r="B2125" s="197" t="str">
        <f ca="1">IFERROR(__xludf.DUMMYFUNCTION("""COMPUTED_VALUE"""),"Alexa Rusk")</f>
        <v>Alexa Rusk</v>
      </c>
      <c r="C2125" s="189">
        <f ca="1">IFERROR(__xludf.DUMMYFUNCTION("""COMPUTED_VALUE"""),8)</f>
        <v>8</v>
      </c>
      <c r="D2125" s="189" t="str">
        <f ca="1">IFERROR(__xludf.DUMMYFUNCTION("""COMPUTED_VALUE"""),"G")</f>
        <v>G</v>
      </c>
      <c r="E2125" s="189" t="str">
        <f ca="1">IFERROR(__xludf.DUMMYFUNCTION("""COMPUTED_VALUE"""),"F")</f>
        <v>F</v>
      </c>
      <c r="F2125" s="189" t="str">
        <f ca="1">IFERROR(__xludf.DUMMYFUNCTION("""COMPUTED_VALUE"""),"J")</f>
        <v>J</v>
      </c>
      <c r="G2125" s="189">
        <f ca="1">IFERROR(__xludf.DUMMYFUNCTION("""COMPUTED_VALUE"""),6)</f>
        <v>6</v>
      </c>
      <c r="H2125" s="196"/>
      <c r="I2125" s="196"/>
      <c r="J2125" s="196"/>
      <c r="K2125" s="196"/>
      <c r="L2125" s="196" t="str">
        <v/>
      </c>
      <c r="M2125" s="196"/>
    </row>
    <row r="2126" spans="1:13" ht="14.4" x14ac:dyDescent="0.3">
      <c r="A2126" s="189" t="str">
        <f ca="1">IFERROR(__xludf.DUMMYFUNCTION("""COMPUTED_VALUE"""),"WC")</f>
        <v>WC</v>
      </c>
      <c r="B2126" s="197" t="str">
        <f ca="1">IFERROR(__xludf.DUMMYFUNCTION("""COMPUTED_VALUE"""),"Ana Negrelli")</f>
        <v>Ana Negrelli</v>
      </c>
      <c r="C2126" s="189">
        <f ca="1">IFERROR(__xludf.DUMMYFUNCTION("""COMPUTED_VALUE"""),10)</f>
        <v>10</v>
      </c>
      <c r="D2126" s="189" t="str">
        <f ca="1">IFERROR(__xludf.DUMMYFUNCTION("""COMPUTED_VALUE"""),"G")</f>
        <v>G</v>
      </c>
      <c r="E2126" s="189" t="str">
        <f ca="1">IFERROR(__xludf.DUMMYFUNCTION("""COMPUTED_VALUE"""),"F")</f>
        <v>F</v>
      </c>
      <c r="F2126" s="189" t="str">
        <f ca="1">IFERROR(__xludf.DUMMYFUNCTION("""COMPUTED_VALUE"""),"J")</f>
        <v>J</v>
      </c>
      <c r="G2126" s="189">
        <f ca="1">IFERROR(__xludf.DUMMYFUNCTION("""COMPUTED_VALUE"""),6)</f>
        <v>6</v>
      </c>
      <c r="H2126" s="196" t="s">
        <v>315</v>
      </c>
      <c r="I2126" s="196"/>
      <c r="J2126" s="196" t="s">
        <v>29</v>
      </c>
      <c r="K2126" s="196"/>
      <c r="L2126" s="196" t="str">
        <v xml:space="preserve"> 47.85</v>
      </c>
      <c r="M2126" s="196"/>
    </row>
    <row r="2127" spans="1:13" ht="14.4" x14ac:dyDescent="0.3">
      <c r="A2127" s="189" t="str">
        <f ca="1">IFERROR(__xludf.DUMMYFUNCTION("""COMPUTED_VALUE"""),"WC")</f>
        <v>WC</v>
      </c>
      <c r="B2127" s="197" t="str">
        <f ca="1">IFERROR(__xludf.DUMMYFUNCTION("""COMPUTED_VALUE"""),"Annelise Saunders")</f>
        <v>Annelise Saunders</v>
      </c>
      <c r="C2127" s="189">
        <f ca="1">IFERROR(__xludf.DUMMYFUNCTION("""COMPUTED_VALUE"""),10)</f>
        <v>10</v>
      </c>
      <c r="D2127" s="189" t="str">
        <f ca="1">IFERROR(__xludf.DUMMYFUNCTION("""COMPUTED_VALUE"""),"G")</f>
        <v>G</v>
      </c>
      <c r="E2127" s="189" t="str">
        <f ca="1">IFERROR(__xludf.DUMMYFUNCTION("""COMPUTED_VALUE"""),"F")</f>
        <v>F</v>
      </c>
      <c r="F2127" s="189" t="str">
        <f ca="1">IFERROR(__xludf.DUMMYFUNCTION("""COMPUTED_VALUE"""),"J")</f>
        <v>J</v>
      </c>
      <c r="G2127" s="189">
        <f ca="1">IFERROR(__xludf.DUMMYFUNCTION("""COMPUTED_VALUE"""),6)</f>
        <v>6</v>
      </c>
      <c r="H2127" s="196" t="s">
        <v>721</v>
      </c>
      <c r="I2127" s="196"/>
      <c r="J2127" s="196" t="s">
        <v>29</v>
      </c>
      <c r="K2127" s="196"/>
      <c r="L2127" s="196" t="str">
        <v xml:space="preserve"> 62.85</v>
      </c>
      <c r="M2127" s="196"/>
    </row>
    <row r="2128" spans="1:13" ht="14.4" x14ac:dyDescent="0.3">
      <c r="A2128" s="189" t="str">
        <f ca="1">IFERROR(__xludf.DUMMYFUNCTION("""COMPUTED_VALUE"""),"WC")</f>
        <v>WC</v>
      </c>
      <c r="B2128" s="197" t="str">
        <f ca="1">IFERROR(__xludf.DUMMYFUNCTION("""COMPUTED_VALUE"""),"Audrey Cusner")</f>
        <v>Audrey Cusner</v>
      </c>
      <c r="C2128" s="189">
        <f ca="1">IFERROR(__xludf.DUMMYFUNCTION("""COMPUTED_VALUE"""),10)</f>
        <v>10</v>
      </c>
      <c r="D2128" s="189" t="str">
        <f ca="1">IFERROR(__xludf.DUMMYFUNCTION("""COMPUTED_VALUE"""),"G")</f>
        <v>G</v>
      </c>
      <c r="E2128" s="189" t="str">
        <f ca="1">IFERROR(__xludf.DUMMYFUNCTION("""COMPUTED_VALUE"""),"F")</f>
        <v>F</v>
      </c>
      <c r="F2128" s="189" t="str">
        <f ca="1">IFERROR(__xludf.DUMMYFUNCTION("""COMPUTED_VALUE"""),"J")</f>
        <v>J</v>
      </c>
      <c r="G2128" s="189">
        <f ca="1">IFERROR(__xludf.DUMMYFUNCTION("""COMPUTED_VALUE"""),6)</f>
        <v>6</v>
      </c>
      <c r="H2128" s="196"/>
      <c r="I2128" s="196"/>
      <c r="J2128" s="196"/>
      <c r="K2128" s="196"/>
      <c r="L2128" s="196" t="str">
        <v/>
      </c>
      <c r="M2128" s="196"/>
    </row>
    <row r="2129" spans="1:13" ht="14.4" x14ac:dyDescent="0.3">
      <c r="A2129" s="189" t="str">
        <f ca="1">IFERROR(__xludf.DUMMYFUNCTION("""COMPUTED_VALUE"""),"WC")</f>
        <v>WC</v>
      </c>
      <c r="B2129" s="197" t="str">
        <f ca="1">IFERROR(__xludf.DUMMYFUNCTION("""COMPUTED_VALUE"""),"Bailey Themak")</f>
        <v>Bailey Themak</v>
      </c>
      <c r="C2129" s="189">
        <f ca="1">IFERROR(__xludf.DUMMYFUNCTION("""COMPUTED_VALUE"""),10)</f>
        <v>10</v>
      </c>
      <c r="D2129" s="189" t="str">
        <f ca="1">IFERROR(__xludf.DUMMYFUNCTION("""COMPUTED_VALUE"""),"G")</f>
        <v>G</v>
      </c>
      <c r="E2129" s="189" t="str">
        <f ca="1">IFERROR(__xludf.DUMMYFUNCTION("""COMPUTED_VALUE"""),"F")</f>
        <v>F</v>
      </c>
      <c r="F2129" s="189" t="str">
        <f ca="1">IFERROR(__xludf.DUMMYFUNCTION("""COMPUTED_VALUE"""),"J")</f>
        <v>J</v>
      </c>
      <c r="G2129" s="189">
        <f ca="1">IFERROR(__xludf.DUMMYFUNCTION("""COMPUTED_VALUE"""),6)</f>
        <v>6</v>
      </c>
      <c r="H2129" s="196"/>
      <c r="I2129" s="196"/>
      <c r="J2129" s="196"/>
      <c r="K2129" s="196"/>
      <c r="L2129" s="196" t="str">
        <v/>
      </c>
      <c r="M2129" s="196"/>
    </row>
    <row r="2130" spans="1:13" ht="14.4" x14ac:dyDescent="0.3">
      <c r="A2130" s="189" t="str">
        <f ca="1">IFERROR(__xludf.DUMMYFUNCTION("""COMPUTED_VALUE"""),"WC")</f>
        <v>WC</v>
      </c>
      <c r="B2130" s="197" t="str">
        <f ca="1">IFERROR(__xludf.DUMMYFUNCTION("""COMPUTED_VALUE"""),"Carolina Neill")</f>
        <v>Carolina Neill</v>
      </c>
      <c r="C2130" s="189">
        <f ca="1">IFERROR(__xludf.DUMMYFUNCTION("""COMPUTED_VALUE"""),10)</f>
        <v>10</v>
      </c>
      <c r="D2130" s="189" t="str">
        <f ca="1">IFERROR(__xludf.DUMMYFUNCTION("""COMPUTED_VALUE"""),"G")</f>
        <v>G</v>
      </c>
      <c r="E2130" s="189" t="str">
        <f ca="1">IFERROR(__xludf.DUMMYFUNCTION("""COMPUTED_VALUE"""),"F")</f>
        <v>F</v>
      </c>
      <c r="F2130" s="189" t="str">
        <f ca="1">IFERROR(__xludf.DUMMYFUNCTION("""COMPUTED_VALUE"""),"J")</f>
        <v>J</v>
      </c>
      <c r="G2130" s="189">
        <f ca="1">IFERROR(__xludf.DUMMYFUNCTION("""COMPUTED_VALUE"""),6)</f>
        <v>6</v>
      </c>
      <c r="H2130" s="196"/>
      <c r="I2130" s="196"/>
      <c r="J2130" s="196"/>
      <c r="K2130" s="196"/>
      <c r="L2130" s="196" t="str">
        <v/>
      </c>
      <c r="M2130" s="196"/>
    </row>
    <row r="2131" spans="1:13" ht="14.4" x14ac:dyDescent="0.3">
      <c r="A2131" s="189" t="str">
        <f ca="1">IFERROR(__xludf.DUMMYFUNCTION("""COMPUTED_VALUE"""),"WC")</f>
        <v>WC</v>
      </c>
      <c r="B2131" s="197" t="str">
        <f ca="1">IFERROR(__xludf.DUMMYFUNCTION("""COMPUTED_VALUE"""),"Charlotte Williams")</f>
        <v>Charlotte Williams</v>
      </c>
      <c r="C2131" s="189">
        <f ca="1">IFERROR(__xludf.DUMMYFUNCTION("""COMPUTED_VALUE"""),9)</f>
        <v>9</v>
      </c>
      <c r="D2131" s="189" t="str">
        <f ca="1">IFERROR(__xludf.DUMMYFUNCTION("""COMPUTED_VALUE"""),"G")</f>
        <v>G</v>
      </c>
      <c r="E2131" s="189" t="str">
        <f ca="1">IFERROR(__xludf.DUMMYFUNCTION("""COMPUTED_VALUE"""),"F")</f>
        <v>F</v>
      </c>
      <c r="F2131" s="189" t="str">
        <f ca="1">IFERROR(__xludf.DUMMYFUNCTION("""COMPUTED_VALUE"""),"J")</f>
        <v>J</v>
      </c>
      <c r="G2131" s="189">
        <f ca="1">IFERROR(__xludf.DUMMYFUNCTION("""COMPUTED_VALUE"""),6)</f>
        <v>6</v>
      </c>
      <c r="H2131" s="196"/>
      <c r="I2131" s="196"/>
      <c r="J2131" s="196"/>
      <c r="K2131" s="196"/>
      <c r="L2131" s="196" t="str">
        <v/>
      </c>
      <c r="M2131" s="196"/>
    </row>
    <row r="2132" spans="1:13" ht="14.4" x14ac:dyDescent="0.3">
      <c r="A2132" s="189" t="str">
        <f ca="1">IFERROR(__xludf.DUMMYFUNCTION("""COMPUTED_VALUE"""),"WC")</f>
        <v>WC</v>
      </c>
      <c r="B2132" s="197" t="str">
        <f ca="1">IFERROR(__xludf.DUMMYFUNCTION("""COMPUTED_VALUE"""),"Ella Pace")</f>
        <v>Ella Pace</v>
      </c>
      <c r="C2132" s="189">
        <f ca="1">IFERROR(__xludf.DUMMYFUNCTION("""COMPUTED_VALUE"""),10)</f>
        <v>10</v>
      </c>
      <c r="D2132" s="189" t="str">
        <f ca="1">IFERROR(__xludf.DUMMYFUNCTION("""COMPUTED_VALUE"""),"G")</f>
        <v>G</v>
      </c>
      <c r="E2132" s="189" t="str">
        <f ca="1">IFERROR(__xludf.DUMMYFUNCTION("""COMPUTED_VALUE"""),"F")</f>
        <v>F</v>
      </c>
      <c r="F2132" s="189" t="str">
        <f ca="1">IFERROR(__xludf.DUMMYFUNCTION("""COMPUTED_VALUE"""),"J")</f>
        <v>J</v>
      </c>
      <c r="G2132" s="189">
        <f ca="1">IFERROR(__xludf.DUMMYFUNCTION("""COMPUTED_VALUE"""),6)</f>
        <v>6</v>
      </c>
      <c r="H2132" s="196"/>
      <c r="I2132" s="196"/>
      <c r="J2132" s="196"/>
      <c r="K2132" s="196"/>
      <c r="L2132" s="196" t="str">
        <v/>
      </c>
      <c r="M2132" s="196"/>
    </row>
    <row r="2133" spans="1:13" ht="14.4" x14ac:dyDescent="0.3">
      <c r="A2133" s="189" t="str">
        <f ca="1">IFERROR(__xludf.DUMMYFUNCTION("""COMPUTED_VALUE"""),"WC")</f>
        <v>WC</v>
      </c>
      <c r="B2133" s="197" t="str">
        <f ca="1">IFERROR(__xludf.DUMMYFUNCTION("""COMPUTED_VALUE"""),"Ellie Cusner")</f>
        <v>Ellie Cusner</v>
      </c>
      <c r="C2133" s="189">
        <f ca="1">IFERROR(__xludf.DUMMYFUNCTION("""COMPUTED_VALUE"""),8)</f>
        <v>8</v>
      </c>
      <c r="D2133" s="189" t="str">
        <f ca="1">IFERROR(__xludf.DUMMYFUNCTION("""COMPUTED_VALUE"""),"G")</f>
        <v>G</v>
      </c>
      <c r="E2133" s="189" t="str">
        <f ca="1">IFERROR(__xludf.DUMMYFUNCTION("""COMPUTED_VALUE"""),"F")</f>
        <v>F</v>
      </c>
      <c r="F2133" s="189" t="str">
        <f ca="1">IFERROR(__xludf.DUMMYFUNCTION("""COMPUTED_VALUE"""),"J")</f>
        <v>J</v>
      </c>
      <c r="G2133" s="189">
        <f ca="1">IFERROR(__xludf.DUMMYFUNCTION("""COMPUTED_VALUE"""),6)</f>
        <v>6</v>
      </c>
      <c r="H2133" s="196" t="s">
        <v>833</v>
      </c>
      <c r="I2133" s="196"/>
      <c r="J2133" s="196" t="s">
        <v>29</v>
      </c>
      <c r="K2133" s="196"/>
      <c r="L2133" s="196" t="str">
        <v xml:space="preserve"> 27.70</v>
      </c>
      <c r="M2133" s="196"/>
    </row>
    <row r="2134" spans="1:13" ht="14.4" x14ac:dyDescent="0.3">
      <c r="A2134" s="189" t="str">
        <f ca="1">IFERROR(__xludf.DUMMYFUNCTION("""COMPUTED_VALUE"""),"WC")</f>
        <v>WC</v>
      </c>
      <c r="B2134" s="197" t="str">
        <f ca="1">IFERROR(__xludf.DUMMYFUNCTION("""COMPUTED_VALUE"""),"Emily Skolnitsky")</f>
        <v>Emily Skolnitsky</v>
      </c>
      <c r="C2134" s="189">
        <f ca="1">IFERROR(__xludf.DUMMYFUNCTION("""COMPUTED_VALUE"""),9)</f>
        <v>9</v>
      </c>
      <c r="D2134" s="189" t="str">
        <f ca="1">IFERROR(__xludf.DUMMYFUNCTION("""COMPUTED_VALUE"""),"G")</f>
        <v>G</v>
      </c>
      <c r="E2134" s="189" t="str">
        <f ca="1">IFERROR(__xludf.DUMMYFUNCTION("""COMPUTED_VALUE"""),"F")</f>
        <v>F</v>
      </c>
      <c r="F2134" s="189" t="str">
        <f ca="1">IFERROR(__xludf.DUMMYFUNCTION("""COMPUTED_VALUE"""),"J")</f>
        <v>J</v>
      </c>
      <c r="G2134" s="189">
        <f ca="1">IFERROR(__xludf.DUMMYFUNCTION("""COMPUTED_VALUE"""),6)</f>
        <v>6</v>
      </c>
      <c r="H2134" s="196"/>
      <c r="I2134" s="196"/>
      <c r="J2134" s="196"/>
      <c r="K2134" s="196"/>
      <c r="L2134" s="196" t="str">
        <v/>
      </c>
      <c r="M2134" s="196"/>
    </row>
    <row r="2135" spans="1:13" ht="14.4" x14ac:dyDescent="0.3">
      <c r="A2135" s="189" t="str">
        <f ca="1">IFERROR(__xludf.DUMMYFUNCTION("""COMPUTED_VALUE"""),"WC")</f>
        <v>WC</v>
      </c>
      <c r="B2135" s="197" t="str">
        <f ca="1">IFERROR(__xludf.DUMMYFUNCTION("""COMPUTED_VALUE"""),"Isla Curry")</f>
        <v>Isla Curry</v>
      </c>
      <c r="C2135" s="189">
        <f ca="1">IFERROR(__xludf.DUMMYFUNCTION("""COMPUTED_VALUE"""),9)</f>
        <v>9</v>
      </c>
      <c r="D2135" s="189" t="str">
        <f ca="1">IFERROR(__xludf.DUMMYFUNCTION("""COMPUTED_VALUE"""),"G")</f>
        <v>G</v>
      </c>
      <c r="E2135" s="189" t="str">
        <f ca="1">IFERROR(__xludf.DUMMYFUNCTION("""COMPUTED_VALUE"""),"F")</f>
        <v>F</v>
      </c>
      <c r="F2135" s="189" t="str">
        <f ca="1">IFERROR(__xludf.DUMMYFUNCTION("""COMPUTED_VALUE"""),"J")</f>
        <v>J</v>
      </c>
      <c r="G2135" s="189">
        <f ca="1">IFERROR(__xludf.DUMMYFUNCTION("""COMPUTED_VALUE"""),6)</f>
        <v>6</v>
      </c>
      <c r="H2135" s="196"/>
      <c r="I2135" s="196"/>
      <c r="J2135" s="196"/>
      <c r="K2135" s="196"/>
      <c r="L2135" s="196" t="str">
        <v/>
      </c>
      <c r="M2135" s="196"/>
    </row>
    <row r="2136" spans="1:13" ht="14.4" x14ac:dyDescent="0.3">
      <c r="A2136" s="189" t="str">
        <f ca="1">IFERROR(__xludf.DUMMYFUNCTION("""COMPUTED_VALUE"""),"WC")</f>
        <v>WC</v>
      </c>
      <c r="B2136" s="197" t="str">
        <f ca="1">IFERROR(__xludf.DUMMYFUNCTION("""COMPUTED_VALUE"""),"Jillian Sandridge")</f>
        <v>Jillian Sandridge</v>
      </c>
      <c r="C2136" s="189">
        <f ca="1">IFERROR(__xludf.DUMMYFUNCTION("""COMPUTED_VALUE"""),10)</f>
        <v>10</v>
      </c>
      <c r="D2136" s="189" t="str">
        <f ca="1">IFERROR(__xludf.DUMMYFUNCTION("""COMPUTED_VALUE"""),"G")</f>
        <v>G</v>
      </c>
      <c r="E2136" s="189" t="str">
        <f ca="1">IFERROR(__xludf.DUMMYFUNCTION("""COMPUTED_VALUE"""),"F")</f>
        <v>F</v>
      </c>
      <c r="F2136" s="189" t="str">
        <f ca="1">IFERROR(__xludf.DUMMYFUNCTION("""COMPUTED_VALUE"""),"J")</f>
        <v>J</v>
      </c>
      <c r="G2136" s="189">
        <f ca="1">IFERROR(__xludf.DUMMYFUNCTION("""COMPUTED_VALUE"""),6)</f>
        <v>6</v>
      </c>
      <c r="H2136" s="196"/>
      <c r="I2136" s="196"/>
      <c r="J2136" s="196"/>
      <c r="K2136" s="196"/>
      <c r="L2136" s="196" t="str">
        <v/>
      </c>
      <c r="M2136" s="196"/>
    </row>
    <row r="2137" spans="1:13" ht="14.4" x14ac:dyDescent="0.3">
      <c r="A2137" s="189" t="str">
        <f ca="1">IFERROR(__xludf.DUMMYFUNCTION("""COMPUTED_VALUE"""),"WC")</f>
        <v>WC</v>
      </c>
      <c r="B2137" s="197" t="str">
        <f ca="1">IFERROR(__xludf.DUMMYFUNCTION("""COMPUTED_VALUE"""),"Juliette Campagna")</f>
        <v>Juliette Campagna</v>
      </c>
      <c r="C2137" s="189">
        <f ca="1">IFERROR(__xludf.DUMMYFUNCTION("""COMPUTED_VALUE"""),9)</f>
        <v>9</v>
      </c>
      <c r="D2137" s="189" t="str">
        <f ca="1">IFERROR(__xludf.DUMMYFUNCTION("""COMPUTED_VALUE"""),"G")</f>
        <v>G</v>
      </c>
      <c r="E2137" s="189" t="str">
        <f ca="1">IFERROR(__xludf.DUMMYFUNCTION("""COMPUTED_VALUE"""),"F")</f>
        <v>F</v>
      </c>
      <c r="F2137" s="189" t="str">
        <f ca="1">IFERROR(__xludf.DUMMYFUNCTION("""COMPUTED_VALUE"""),"J")</f>
        <v>J</v>
      </c>
      <c r="G2137" s="189">
        <f ca="1">IFERROR(__xludf.DUMMYFUNCTION("""COMPUTED_VALUE"""),6)</f>
        <v>6</v>
      </c>
      <c r="H2137" s="196"/>
      <c r="I2137" s="196"/>
      <c r="J2137" s="196"/>
      <c r="K2137" s="196"/>
      <c r="L2137" s="196" t="str">
        <v/>
      </c>
      <c r="M2137" s="196"/>
    </row>
    <row r="2138" spans="1:13" ht="14.4" x14ac:dyDescent="0.3">
      <c r="A2138" s="189" t="str">
        <f ca="1">IFERROR(__xludf.DUMMYFUNCTION("""COMPUTED_VALUE"""),"WC")</f>
        <v>WC</v>
      </c>
      <c r="B2138" s="197" t="str">
        <f ca="1">IFERROR(__xludf.DUMMYFUNCTION("""COMPUTED_VALUE"""),"Juliette Walsh")</f>
        <v>Juliette Walsh</v>
      </c>
      <c r="C2138" s="189">
        <f ca="1">IFERROR(__xludf.DUMMYFUNCTION("""COMPUTED_VALUE"""),7)</f>
        <v>7</v>
      </c>
      <c r="D2138" s="189" t="str">
        <f ca="1">IFERROR(__xludf.DUMMYFUNCTION("""COMPUTED_VALUE"""),"G")</f>
        <v>G</v>
      </c>
      <c r="E2138" s="189" t="str">
        <f ca="1">IFERROR(__xludf.DUMMYFUNCTION("""COMPUTED_VALUE"""),"F")</f>
        <v>F</v>
      </c>
      <c r="F2138" s="189" t="str">
        <f ca="1">IFERROR(__xludf.DUMMYFUNCTION("""COMPUTED_VALUE"""),"J")</f>
        <v>J</v>
      </c>
      <c r="G2138" s="189">
        <f ca="1">IFERROR(__xludf.DUMMYFUNCTION("""COMPUTED_VALUE"""),6)</f>
        <v>6</v>
      </c>
      <c r="H2138" s="196"/>
      <c r="I2138" s="196"/>
      <c r="J2138" s="196"/>
      <c r="K2138" s="196"/>
      <c r="L2138" s="196" t="str">
        <v/>
      </c>
      <c r="M2138" s="196"/>
    </row>
    <row r="2139" spans="1:13" ht="14.4" x14ac:dyDescent="0.3">
      <c r="A2139" s="189" t="str">
        <f ca="1">IFERROR(__xludf.DUMMYFUNCTION("""COMPUTED_VALUE"""),"WC")</f>
        <v>WC</v>
      </c>
      <c r="B2139" s="197" t="str">
        <f ca="1">IFERROR(__xludf.DUMMYFUNCTION("""COMPUTED_VALUE"""),"Lilian Raymond")</f>
        <v>Lilian Raymond</v>
      </c>
      <c r="C2139" s="189">
        <f ca="1">IFERROR(__xludf.DUMMYFUNCTION("""COMPUTED_VALUE"""),9)</f>
        <v>9</v>
      </c>
      <c r="D2139" s="189" t="str">
        <f ca="1">IFERROR(__xludf.DUMMYFUNCTION("""COMPUTED_VALUE"""),"G")</f>
        <v>G</v>
      </c>
      <c r="E2139" s="189" t="str">
        <f ca="1">IFERROR(__xludf.DUMMYFUNCTION("""COMPUTED_VALUE"""),"F")</f>
        <v>F</v>
      </c>
      <c r="F2139" s="189" t="str">
        <f ca="1">IFERROR(__xludf.DUMMYFUNCTION("""COMPUTED_VALUE"""),"J")</f>
        <v>J</v>
      </c>
      <c r="G2139" s="189">
        <f ca="1">IFERROR(__xludf.DUMMYFUNCTION("""COMPUTED_VALUE"""),6)</f>
        <v>6</v>
      </c>
      <c r="H2139" s="196" t="s">
        <v>546</v>
      </c>
      <c r="I2139" s="196"/>
      <c r="J2139" s="196" t="s">
        <v>29</v>
      </c>
      <c r="K2139" s="196"/>
      <c r="L2139" s="196" t="str">
        <v xml:space="preserve"> 49.25</v>
      </c>
      <c r="M2139" s="196"/>
    </row>
    <row r="2140" spans="1:13" ht="14.4" x14ac:dyDescent="0.3">
      <c r="A2140" s="189" t="str">
        <f ca="1">IFERROR(__xludf.DUMMYFUNCTION("""COMPUTED_VALUE"""),"WC")</f>
        <v>WC</v>
      </c>
      <c r="B2140" s="197" t="str">
        <f ca="1">IFERROR(__xludf.DUMMYFUNCTION("""COMPUTED_VALUE"""),"Lillian Sinclair")</f>
        <v>Lillian Sinclair</v>
      </c>
      <c r="C2140" s="189">
        <f ca="1">IFERROR(__xludf.DUMMYFUNCTION("""COMPUTED_VALUE"""),10)</f>
        <v>10</v>
      </c>
      <c r="D2140" s="189" t="str">
        <f ca="1">IFERROR(__xludf.DUMMYFUNCTION("""COMPUTED_VALUE"""),"G")</f>
        <v>G</v>
      </c>
      <c r="E2140" s="189" t="str">
        <f ca="1">IFERROR(__xludf.DUMMYFUNCTION("""COMPUTED_VALUE"""),"F")</f>
        <v>F</v>
      </c>
      <c r="F2140" s="189" t="str">
        <f ca="1">IFERROR(__xludf.DUMMYFUNCTION("""COMPUTED_VALUE"""),"J")</f>
        <v>J</v>
      </c>
      <c r="G2140" s="189">
        <f ca="1">IFERROR(__xludf.DUMMYFUNCTION("""COMPUTED_VALUE"""),6)</f>
        <v>6</v>
      </c>
      <c r="H2140" s="196" t="s">
        <v>834</v>
      </c>
      <c r="I2140" s="196"/>
      <c r="J2140" s="196" t="s">
        <v>29</v>
      </c>
      <c r="K2140" s="196"/>
      <c r="L2140" s="196" t="str">
        <v xml:space="preserve"> 43.25</v>
      </c>
      <c r="M2140" s="196"/>
    </row>
    <row r="2141" spans="1:13" ht="14.4" x14ac:dyDescent="0.3">
      <c r="A2141" s="189" t="str">
        <f ca="1">IFERROR(__xludf.DUMMYFUNCTION("""COMPUTED_VALUE"""),"WC")</f>
        <v>WC</v>
      </c>
      <c r="B2141" s="197" t="str">
        <f ca="1">IFERROR(__xludf.DUMMYFUNCTION("""COMPUTED_VALUE"""),"Lucy Wolverton")</f>
        <v>Lucy Wolverton</v>
      </c>
      <c r="C2141" s="189">
        <f ca="1">IFERROR(__xludf.DUMMYFUNCTION("""COMPUTED_VALUE"""),7)</f>
        <v>7</v>
      </c>
      <c r="D2141" s="189" t="str">
        <f ca="1">IFERROR(__xludf.DUMMYFUNCTION("""COMPUTED_VALUE"""),"G")</f>
        <v>G</v>
      </c>
      <c r="E2141" s="189" t="str">
        <f ca="1">IFERROR(__xludf.DUMMYFUNCTION("""COMPUTED_VALUE"""),"F")</f>
        <v>F</v>
      </c>
      <c r="F2141" s="189" t="str">
        <f ca="1">IFERROR(__xludf.DUMMYFUNCTION("""COMPUTED_VALUE"""),"J")</f>
        <v>J</v>
      </c>
      <c r="G2141" s="189">
        <f ca="1">IFERROR(__xludf.DUMMYFUNCTION("""COMPUTED_VALUE"""),6)</f>
        <v>6</v>
      </c>
      <c r="H2141" s="196" t="s">
        <v>835</v>
      </c>
      <c r="I2141" s="196"/>
      <c r="J2141" s="196" t="s">
        <v>29</v>
      </c>
      <c r="K2141" s="196"/>
      <c r="L2141" s="196" t="str">
        <v xml:space="preserve"> 54.10</v>
      </c>
      <c r="M2141" s="196"/>
    </row>
    <row r="2142" spans="1:13" ht="14.4" x14ac:dyDescent="0.3">
      <c r="A2142" s="189" t="str">
        <f ca="1">IFERROR(__xludf.DUMMYFUNCTION("""COMPUTED_VALUE"""),"WC")</f>
        <v>WC</v>
      </c>
      <c r="B2142" s="197" t="str">
        <f ca="1">IFERROR(__xludf.DUMMYFUNCTION("""COMPUTED_VALUE"""),"Margot DeSorrento")</f>
        <v>Margot DeSorrento</v>
      </c>
      <c r="C2142" s="189">
        <f ca="1">IFERROR(__xludf.DUMMYFUNCTION("""COMPUTED_VALUE"""),8)</f>
        <v>8</v>
      </c>
      <c r="D2142" s="189" t="str">
        <f ca="1">IFERROR(__xludf.DUMMYFUNCTION("""COMPUTED_VALUE"""),"G")</f>
        <v>G</v>
      </c>
      <c r="E2142" s="189" t="str">
        <f ca="1">IFERROR(__xludf.DUMMYFUNCTION("""COMPUTED_VALUE"""),"F")</f>
        <v>F</v>
      </c>
      <c r="F2142" s="189" t="str">
        <f ca="1">IFERROR(__xludf.DUMMYFUNCTION("""COMPUTED_VALUE"""),"J")</f>
        <v>J</v>
      </c>
      <c r="G2142" s="189">
        <f ca="1">IFERROR(__xludf.DUMMYFUNCTION("""COMPUTED_VALUE"""),6)</f>
        <v>6</v>
      </c>
      <c r="H2142" s="196"/>
      <c r="I2142" s="196"/>
      <c r="J2142" s="196"/>
      <c r="K2142" s="196"/>
      <c r="L2142" s="196" t="str">
        <v/>
      </c>
      <c r="M2142" s="196"/>
    </row>
    <row r="2143" spans="1:13" ht="14.4" x14ac:dyDescent="0.3">
      <c r="A2143" s="189" t="str">
        <f ca="1">IFERROR(__xludf.DUMMYFUNCTION("""COMPUTED_VALUE"""),"WC")</f>
        <v>WC</v>
      </c>
      <c r="B2143" s="197" t="str">
        <f ca="1">IFERROR(__xludf.DUMMYFUNCTION("""COMPUTED_VALUE"""),"Mia Borlinghaus")</f>
        <v>Mia Borlinghaus</v>
      </c>
      <c r="C2143" s="189">
        <f ca="1">IFERROR(__xludf.DUMMYFUNCTION("""COMPUTED_VALUE"""),10)</f>
        <v>10</v>
      </c>
      <c r="D2143" s="189" t="str">
        <f ca="1">IFERROR(__xludf.DUMMYFUNCTION("""COMPUTED_VALUE"""),"G")</f>
        <v>G</v>
      </c>
      <c r="E2143" s="189" t="str">
        <f ca="1">IFERROR(__xludf.DUMMYFUNCTION("""COMPUTED_VALUE"""),"F")</f>
        <v>F</v>
      </c>
      <c r="F2143" s="189" t="str">
        <f ca="1">IFERROR(__xludf.DUMMYFUNCTION("""COMPUTED_VALUE"""),"J")</f>
        <v>J</v>
      </c>
      <c r="G2143" s="189">
        <f ca="1">IFERROR(__xludf.DUMMYFUNCTION("""COMPUTED_VALUE"""),6)</f>
        <v>6</v>
      </c>
      <c r="H2143" s="196" t="s">
        <v>836</v>
      </c>
      <c r="I2143" s="196"/>
      <c r="J2143" s="196" t="s">
        <v>29</v>
      </c>
      <c r="K2143" s="196"/>
      <c r="L2143" s="196" t="str">
        <v xml:space="preserve"> 41.90</v>
      </c>
      <c r="M2143" s="196"/>
    </row>
    <row r="2144" spans="1:13" ht="14.4" x14ac:dyDescent="0.3">
      <c r="A2144" s="189" t="str">
        <f ca="1">IFERROR(__xludf.DUMMYFUNCTION("""COMPUTED_VALUE"""),"WC")</f>
        <v>WC</v>
      </c>
      <c r="B2144" s="197" t="str">
        <f ca="1">IFERROR(__xludf.DUMMYFUNCTION("""COMPUTED_VALUE"""),"Mia Cusner")</f>
        <v>Mia Cusner</v>
      </c>
      <c r="C2144" s="189">
        <f ca="1">IFERROR(__xludf.DUMMYFUNCTION("""COMPUTED_VALUE"""),6)</f>
        <v>6</v>
      </c>
      <c r="D2144" s="189" t="str">
        <f ca="1">IFERROR(__xludf.DUMMYFUNCTION("""COMPUTED_VALUE"""),"G")</f>
        <v>G</v>
      </c>
      <c r="E2144" s="189" t="str">
        <f ca="1">IFERROR(__xludf.DUMMYFUNCTION("""COMPUTED_VALUE"""),"F")</f>
        <v>F</v>
      </c>
      <c r="F2144" s="189" t="str">
        <f ca="1">IFERROR(__xludf.DUMMYFUNCTION("""COMPUTED_VALUE"""),"J")</f>
        <v>J</v>
      </c>
      <c r="G2144" s="189">
        <f ca="1">IFERROR(__xludf.DUMMYFUNCTION("""COMPUTED_VALUE"""),6)</f>
        <v>6</v>
      </c>
      <c r="H2144" s="196"/>
      <c r="I2144" s="196"/>
      <c r="J2144" s="196"/>
      <c r="K2144" s="196"/>
      <c r="L2144" s="196" t="str">
        <v/>
      </c>
      <c r="M2144" s="196"/>
    </row>
    <row r="2145" spans="1:13" ht="14.4" x14ac:dyDescent="0.3">
      <c r="A2145" s="189" t="str">
        <f ca="1">IFERROR(__xludf.DUMMYFUNCTION("""COMPUTED_VALUE"""),"WC")</f>
        <v>WC</v>
      </c>
      <c r="B2145" s="197" t="str">
        <f ca="1">IFERROR(__xludf.DUMMYFUNCTION("""COMPUTED_VALUE"""),"Vivienne Zven")</f>
        <v>Vivienne Zven</v>
      </c>
      <c r="C2145" s="189">
        <f ca="1">IFERROR(__xludf.DUMMYFUNCTION("""COMPUTED_VALUE"""),6)</f>
        <v>6</v>
      </c>
      <c r="D2145" s="189" t="str">
        <f ca="1">IFERROR(__xludf.DUMMYFUNCTION("""COMPUTED_VALUE"""),"G")</f>
        <v>G</v>
      </c>
      <c r="E2145" s="189" t="str">
        <f ca="1">IFERROR(__xludf.DUMMYFUNCTION("""COMPUTED_VALUE"""),"F")</f>
        <v>F</v>
      </c>
      <c r="F2145" s="189" t="str">
        <f ca="1">IFERROR(__xludf.DUMMYFUNCTION("""COMPUTED_VALUE"""),"J")</f>
        <v>J</v>
      </c>
      <c r="G2145" s="189">
        <f ca="1">IFERROR(__xludf.DUMMYFUNCTION("""COMPUTED_VALUE"""),6)</f>
        <v>6</v>
      </c>
      <c r="H2145" s="196"/>
      <c r="I2145" s="196"/>
      <c r="J2145" s="196"/>
      <c r="K2145" s="196"/>
      <c r="L2145" s="196" t="str">
        <v/>
      </c>
      <c r="M2145" s="196"/>
    </row>
    <row r="2146" spans="1:13" ht="14.4" x14ac:dyDescent="0.3">
      <c r="A2146" s="189" t="str">
        <f ca="1">IFERROR(__xludf.DUMMYFUNCTION("""COMPUTED_VALUE"""),"WC")</f>
        <v>WC</v>
      </c>
      <c r="B2146" s="197" t="str">
        <f ca="1">IFERROR(__xludf.DUMMYFUNCTION("""COMPUTED_VALUE"""),"Benjamin Weitz")</f>
        <v>Benjamin Weitz</v>
      </c>
      <c r="C2146" s="189">
        <f ca="1">IFERROR(__xludf.DUMMYFUNCTION("""COMPUTED_VALUE"""),7)</f>
        <v>7</v>
      </c>
      <c r="D2146" s="189" t="str">
        <f ca="1">IFERROR(__xludf.DUMMYFUNCTION("""COMPUTED_VALUE"""),"B")</f>
        <v>B</v>
      </c>
      <c r="E2146" s="189" t="str">
        <f ca="1">IFERROR(__xludf.DUMMYFUNCTION("""COMPUTED_VALUE"""),"F")</f>
        <v>F</v>
      </c>
      <c r="F2146" s="189" t="str">
        <f ca="1">IFERROR(__xludf.DUMMYFUNCTION("""COMPUTED_VALUE"""),"J")</f>
        <v>J</v>
      </c>
      <c r="G2146" s="189">
        <f ca="1">IFERROR(__xludf.DUMMYFUNCTION("""COMPUTED_VALUE"""),6)</f>
        <v>6</v>
      </c>
      <c r="H2146" s="196" t="s">
        <v>837</v>
      </c>
      <c r="I2146" s="196"/>
      <c r="J2146" s="196" t="s">
        <v>29</v>
      </c>
      <c r="K2146" s="196"/>
      <c r="L2146" s="196" t="str">
        <v xml:space="preserve"> 45.20</v>
      </c>
      <c r="M2146" s="196"/>
    </row>
    <row r="2147" spans="1:13" ht="14.4" x14ac:dyDescent="0.3">
      <c r="A2147" s="189" t="str">
        <f ca="1">IFERROR(__xludf.DUMMYFUNCTION("""COMPUTED_VALUE"""),"WC")</f>
        <v>WC</v>
      </c>
      <c r="B2147" s="197" t="str">
        <f ca="1">IFERROR(__xludf.DUMMYFUNCTION("""COMPUTED_VALUE"""),"Emmett Wright")</f>
        <v>Emmett Wright</v>
      </c>
      <c r="C2147" s="189">
        <f ca="1">IFERROR(__xludf.DUMMYFUNCTION("""COMPUTED_VALUE"""),8)</f>
        <v>8</v>
      </c>
      <c r="D2147" s="189" t="str">
        <f ca="1">IFERROR(__xludf.DUMMYFUNCTION("""COMPUTED_VALUE"""),"B")</f>
        <v>B</v>
      </c>
      <c r="E2147" s="189" t="str">
        <f ca="1">IFERROR(__xludf.DUMMYFUNCTION("""COMPUTED_VALUE"""),"F")</f>
        <v>F</v>
      </c>
      <c r="F2147" s="189" t="str">
        <f ca="1">IFERROR(__xludf.DUMMYFUNCTION("""COMPUTED_VALUE"""),"J")</f>
        <v>J</v>
      </c>
      <c r="G2147" s="189">
        <f ca="1">IFERROR(__xludf.DUMMYFUNCTION("""COMPUTED_VALUE"""),6)</f>
        <v>6</v>
      </c>
      <c r="H2147" s="196"/>
      <c r="I2147" s="196"/>
      <c r="J2147" s="196"/>
      <c r="K2147" s="196"/>
      <c r="L2147" s="196" t="str">
        <v/>
      </c>
      <c r="M2147" s="196"/>
    </row>
    <row r="2148" spans="1:13" ht="14.4" x14ac:dyDescent="0.3">
      <c r="A2148" s="189" t="str">
        <f ca="1">IFERROR(__xludf.DUMMYFUNCTION("""COMPUTED_VALUE"""),"WC")</f>
        <v>WC</v>
      </c>
      <c r="B2148" s="197" t="str">
        <f ca="1">IFERROR(__xludf.DUMMYFUNCTION("""COMPUTED_VALUE"""),"Garrett Mansuy")</f>
        <v>Garrett Mansuy</v>
      </c>
      <c r="C2148" s="189">
        <f ca="1">IFERROR(__xludf.DUMMYFUNCTION("""COMPUTED_VALUE"""),10)</f>
        <v>10</v>
      </c>
      <c r="D2148" s="189" t="str">
        <f ca="1">IFERROR(__xludf.DUMMYFUNCTION("""COMPUTED_VALUE"""),"B")</f>
        <v>B</v>
      </c>
      <c r="E2148" s="189" t="str">
        <f ca="1">IFERROR(__xludf.DUMMYFUNCTION("""COMPUTED_VALUE"""),"F")</f>
        <v>F</v>
      </c>
      <c r="F2148" s="189" t="str">
        <f ca="1">IFERROR(__xludf.DUMMYFUNCTION("""COMPUTED_VALUE"""),"J")</f>
        <v>J</v>
      </c>
      <c r="G2148" s="189">
        <f ca="1">IFERROR(__xludf.DUMMYFUNCTION("""COMPUTED_VALUE"""),6)</f>
        <v>6</v>
      </c>
      <c r="H2148" s="196"/>
      <c r="I2148" s="196"/>
      <c r="J2148" s="196"/>
      <c r="K2148" s="196"/>
      <c r="L2148" s="196" t="str">
        <v/>
      </c>
      <c r="M2148" s="196"/>
    </row>
    <row r="2149" spans="1:13" ht="14.4" x14ac:dyDescent="0.3">
      <c r="A2149" s="189" t="str">
        <f ca="1">IFERROR(__xludf.DUMMYFUNCTION("""COMPUTED_VALUE"""),"WC")</f>
        <v>WC</v>
      </c>
      <c r="B2149" s="197" t="str">
        <f ca="1">IFERROR(__xludf.DUMMYFUNCTION("""COMPUTED_VALUE"""),"Matthew Robertson")</f>
        <v>Matthew Robertson</v>
      </c>
      <c r="C2149" s="189">
        <f ca="1">IFERROR(__xludf.DUMMYFUNCTION("""COMPUTED_VALUE"""),9)</f>
        <v>9</v>
      </c>
      <c r="D2149" s="189" t="str">
        <f ca="1">IFERROR(__xludf.DUMMYFUNCTION("""COMPUTED_VALUE"""),"B")</f>
        <v>B</v>
      </c>
      <c r="E2149" s="189" t="str">
        <f ca="1">IFERROR(__xludf.DUMMYFUNCTION("""COMPUTED_VALUE"""),"F")</f>
        <v>F</v>
      </c>
      <c r="F2149" s="189" t="str">
        <f ca="1">IFERROR(__xludf.DUMMYFUNCTION("""COMPUTED_VALUE"""),"J")</f>
        <v>J</v>
      </c>
      <c r="G2149" s="189">
        <f ca="1">IFERROR(__xludf.DUMMYFUNCTION("""COMPUTED_VALUE"""),6)</f>
        <v>6</v>
      </c>
      <c r="H2149" s="196" t="s">
        <v>838</v>
      </c>
      <c r="I2149" s="196"/>
      <c r="J2149" s="196" t="s">
        <v>64</v>
      </c>
      <c r="K2149" s="196"/>
      <c r="L2149" s="196" t="str">
        <v xml:space="preserve"> -76.30</v>
      </c>
      <c r="M2149" s="196"/>
    </row>
    <row r="2150" spans="1:13" ht="14.4" x14ac:dyDescent="0.3">
      <c r="A2150" s="189" t="str">
        <f ca="1">IFERROR(__xludf.DUMMYFUNCTION("""COMPUTED_VALUE"""),"WC")</f>
        <v>WC</v>
      </c>
      <c r="B2150" s="197" t="str">
        <f ca="1">IFERROR(__xludf.DUMMYFUNCTION("""COMPUTED_VALUE"""),"Michael Borlinghaus")</f>
        <v>Michael Borlinghaus</v>
      </c>
      <c r="C2150" s="189">
        <f ca="1">IFERROR(__xludf.DUMMYFUNCTION("""COMPUTED_VALUE"""),7)</f>
        <v>7</v>
      </c>
      <c r="D2150" s="189" t="str">
        <f ca="1">IFERROR(__xludf.DUMMYFUNCTION("""COMPUTED_VALUE"""),"B")</f>
        <v>B</v>
      </c>
      <c r="E2150" s="189" t="str">
        <f ca="1">IFERROR(__xludf.DUMMYFUNCTION("""COMPUTED_VALUE"""),"F")</f>
        <v>F</v>
      </c>
      <c r="F2150" s="189" t="str">
        <f ca="1">IFERROR(__xludf.DUMMYFUNCTION("""COMPUTED_VALUE"""),"J")</f>
        <v>J</v>
      </c>
      <c r="G2150" s="189">
        <f ca="1">IFERROR(__xludf.DUMMYFUNCTION("""COMPUTED_VALUE"""),6)</f>
        <v>6</v>
      </c>
      <c r="H2150" s="196"/>
      <c r="I2150" s="196"/>
      <c r="J2150" s="196"/>
      <c r="K2150" s="196"/>
      <c r="L2150" s="196" t="str">
        <v/>
      </c>
      <c r="M2150" s="196"/>
    </row>
    <row r="2151" spans="1:13" ht="14.4" x14ac:dyDescent="0.3">
      <c r="A2151" s="189" t="str">
        <f ca="1">IFERROR(__xludf.DUMMYFUNCTION("""COMPUTED_VALUE"""),"WC")</f>
        <v>WC</v>
      </c>
      <c r="B2151" s="197" t="str">
        <f ca="1">IFERROR(__xludf.DUMMYFUNCTION("""COMPUTED_VALUE"""),"Michael Walsh")</f>
        <v>Michael Walsh</v>
      </c>
      <c r="C2151" s="189">
        <f ca="1">IFERROR(__xludf.DUMMYFUNCTION("""COMPUTED_VALUE"""),9)</f>
        <v>9</v>
      </c>
      <c r="D2151" s="189" t="str">
        <f ca="1">IFERROR(__xludf.DUMMYFUNCTION("""COMPUTED_VALUE"""),"B")</f>
        <v>B</v>
      </c>
      <c r="E2151" s="189" t="str">
        <f ca="1">IFERROR(__xludf.DUMMYFUNCTION("""COMPUTED_VALUE"""),"F")</f>
        <v>F</v>
      </c>
      <c r="F2151" s="189" t="str">
        <f ca="1">IFERROR(__xludf.DUMMYFUNCTION("""COMPUTED_VALUE"""),"J")</f>
        <v>J</v>
      </c>
      <c r="G2151" s="189">
        <f ca="1">IFERROR(__xludf.DUMMYFUNCTION("""COMPUTED_VALUE"""),6)</f>
        <v>6</v>
      </c>
      <c r="H2151" s="196"/>
      <c r="I2151" s="196"/>
      <c r="J2151" s="196"/>
      <c r="K2151" s="196"/>
      <c r="L2151" s="196" t="str">
        <v/>
      </c>
      <c r="M2151" s="196"/>
    </row>
    <row r="2152" spans="1:13" ht="14.4" x14ac:dyDescent="0.3">
      <c r="A2152" s="189" t="str">
        <f ca="1">IFERROR(__xludf.DUMMYFUNCTION("""COMPUTED_VALUE"""),"WC")</f>
        <v>WC</v>
      </c>
      <c r="B2152" s="197" t="str">
        <f ca="1">IFERROR(__xludf.DUMMYFUNCTION("""COMPUTED_VALUE"""),"Nathaniel Zven")</f>
        <v>Nathaniel Zven</v>
      </c>
      <c r="C2152" s="189">
        <f ca="1">IFERROR(__xludf.DUMMYFUNCTION("""COMPUTED_VALUE"""),7)</f>
        <v>7</v>
      </c>
      <c r="D2152" s="189" t="str">
        <f ca="1">IFERROR(__xludf.DUMMYFUNCTION("""COMPUTED_VALUE"""),"B")</f>
        <v>B</v>
      </c>
      <c r="E2152" s="189" t="str">
        <f ca="1">IFERROR(__xludf.DUMMYFUNCTION("""COMPUTED_VALUE"""),"F")</f>
        <v>F</v>
      </c>
      <c r="F2152" s="189" t="str">
        <f ca="1">IFERROR(__xludf.DUMMYFUNCTION("""COMPUTED_VALUE"""),"J")</f>
        <v>J</v>
      </c>
      <c r="G2152" s="189">
        <f ca="1">IFERROR(__xludf.DUMMYFUNCTION("""COMPUTED_VALUE"""),6)</f>
        <v>6</v>
      </c>
      <c r="H2152" s="196"/>
      <c r="I2152" s="196"/>
      <c r="J2152" s="196"/>
      <c r="K2152" s="196"/>
      <c r="L2152" s="196" t="str">
        <v/>
      </c>
      <c r="M2152" s="196"/>
    </row>
    <row r="2153" spans="1:13" ht="14.4" x14ac:dyDescent="0.3">
      <c r="A2153" s="189" t="str">
        <f ca="1">IFERROR(__xludf.DUMMYFUNCTION("""COMPUTED_VALUE"""),"WC")</f>
        <v>WC</v>
      </c>
      <c r="B2153" s="197" t="str">
        <f ca="1">IFERROR(__xludf.DUMMYFUNCTION("""COMPUTED_VALUE"""),"Robert Burke")</f>
        <v>Robert Burke</v>
      </c>
      <c r="C2153" s="189">
        <f ca="1">IFERROR(__xludf.DUMMYFUNCTION("""COMPUTED_VALUE"""),9)</f>
        <v>9</v>
      </c>
      <c r="D2153" s="189" t="str">
        <f ca="1">IFERROR(__xludf.DUMMYFUNCTION("""COMPUTED_VALUE"""),"B")</f>
        <v>B</v>
      </c>
      <c r="E2153" s="189" t="str">
        <f ca="1">IFERROR(__xludf.DUMMYFUNCTION("""COMPUTED_VALUE"""),"F")</f>
        <v>F</v>
      </c>
      <c r="F2153" s="189" t="str">
        <f ca="1">IFERROR(__xludf.DUMMYFUNCTION("""COMPUTED_VALUE"""),"J")</f>
        <v>J</v>
      </c>
      <c r="G2153" s="189">
        <f ca="1">IFERROR(__xludf.DUMMYFUNCTION("""COMPUTED_VALUE"""),6)</f>
        <v>6</v>
      </c>
      <c r="H2153" s="196"/>
      <c r="I2153" s="196"/>
      <c r="J2153" s="196"/>
      <c r="K2153" s="196"/>
      <c r="L2153" s="196" t="str">
        <v/>
      </c>
      <c r="M2153" s="196"/>
    </row>
    <row r="2154" spans="1:13" ht="14.4" x14ac:dyDescent="0.3">
      <c r="A2154" s="189" t="str">
        <f ca="1">IFERROR(__xludf.DUMMYFUNCTION("""COMPUTED_VALUE"""),"WC")</f>
        <v>WC</v>
      </c>
      <c r="B2154" s="197" t="str">
        <f ca="1">IFERROR(__xludf.DUMMYFUNCTION("""COMPUTED_VALUE"""),"Rodeen Kia")</f>
        <v>Rodeen Kia</v>
      </c>
      <c r="C2154" s="189">
        <f ca="1">IFERROR(__xludf.DUMMYFUNCTION("""COMPUTED_VALUE"""),8)</f>
        <v>8</v>
      </c>
      <c r="D2154" s="189" t="str">
        <f ca="1">IFERROR(__xludf.DUMMYFUNCTION("""COMPUTED_VALUE"""),"B")</f>
        <v>B</v>
      </c>
      <c r="E2154" s="189" t="str">
        <f ca="1">IFERROR(__xludf.DUMMYFUNCTION("""COMPUTED_VALUE"""),"F")</f>
        <v>F</v>
      </c>
      <c r="F2154" s="189" t="str">
        <f ca="1">IFERROR(__xludf.DUMMYFUNCTION("""COMPUTED_VALUE"""),"J")</f>
        <v>J</v>
      </c>
      <c r="G2154" s="189">
        <f ca="1">IFERROR(__xludf.DUMMYFUNCTION("""COMPUTED_VALUE"""),6)</f>
        <v>6</v>
      </c>
      <c r="H2154" s="196"/>
      <c r="I2154" s="196"/>
      <c r="J2154" s="196"/>
      <c r="K2154" s="196"/>
      <c r="L2154" s="196" t="str">
        <v/>
      </c>
      <c r="M2154" s="196"/>
    </row>
    <row r="2155" spans="1:13" ht="14.4" x14ac:dyDescent="0.3">
      <c r="A2155" s="189" t="str">
        <f ca="1">IFERROR(__xludf.DUMMYFUNCTION("""COMPUTED_VALUE"""),"WC")</f>
        <v>WC</v>
      </c>
      <c r="B2155" s="197" t="str">
        <f ca="1">IFERROR(__xludf.DUMMYFUNCTION("""COMPUTED_VALUE"""),"Rowen Stenberg")</f>
        <v>Rowen Stenberg</v>
      </c>
      <c r="C2155" s="189">
        <f ca="1">IFERROR(__xludf.DUMMYFUNCTION("""COMPUTED_VALUE"""),7)</f>
        <v>7</v>
      </c>
      <c r="D2155" s="189" t="str">
        <f ca="1">IFERROR(__xludf.DUMMYFUNCTION("""COMPUTED_VALUE"""),"B")</f>
        <v>B</v>
      </c>
      <c r="E2155" s="189" t="str">
        <f ca="1">IFERROR(__xludf.DUMMYFUNCTION("""COMPUTED_VALUE"""),"F")</f>
        <v>F</v>
      </c>
      <c r="F2155" s="189" t="str">
        <f ca="1">IFERROR(__xludf.DUMMYFUNCTION("""COMPUTED_VALUE"""),"J")</f>
        <v>J</v>
      </c>
      <c r="G2155" s="189">
        <f ca="1">IFERROR(__xludf.DUMMYFUNCTION("""COMPUTED_VALUE"""),6)</f>
        <v>6</v>
      </c>
      <c r="H2155" s="196" t="s">
        <v>839</v>
      </c>
      <c r="I2155" s="196"/>
      <c r="J2155" s="196" t="s">
        <v>64</v>
      </c>
      <c r="K2155" s="196"/>
      <c r="L2155" s="196" t="str">
        <v xml:space="preserve"> -83.40</v>
      </c>
      <c r="M2155" s="196"/>
    </row>
    <row r="2156" spans="1:13" ht="14.4" x14ac:dyDescent="0.3">
      <c r="A2156" s="189" t="str">
        <f ca="1">IFERROR(__xludf.DUMMYFUNCTION("""COMPUTED_VALUE"""),"WC")</f>
        <v>WC</v>
      </c>
      <c r="B2156" s="197" t="str">
        <f ca="1">IFERROR(__xludf.DUMMYFUNCTION("""COMPUTED_VALUE"""),"Spencer Pocock")</f>
        <v>Spencer Pocock</v>
      </c>
      <c r="C2156" s="189">
        <f ca="1">IFERROR(__xludf.DUMMYFUNCTION("""COMPUTED_VALUE"""),9)</f>
        <v>9</v>
      </c>
      <c r="D2156" s="189" t="str">
        <f ca="1">IFERROR(__xludf.DUMMYFUNCTION("""COMPUTED_VALUE"""),"B")</f>
        <v>B</v>
      </c>
      <c r="E2156" s="189" t="str">
        <f ca="1">IFERROR(__xludf.DUMMYFUNCTION("""COMPUTED_VALUE"""),"F")</f>
        <v>F</v>
      </c>
      <c r="F2156" s="189" t="str">
        <f ca="1">IFERROR(__xludf.DUMMYFUNCTION("""COMPUTED_VALUE"""),"J")</f>
        <v>J</v>
      </c>
      <c r="G2156" s="189">
        <f ca="1">IFERROR(__xludf.DUMMYFUNCTION("""COMPUTED_VALUE"""),6)</f>
        <v>6</v>
      </c>
      <c r="H2156" s="196" t="s">
        <v>270</v>
      </c>
      <c r="I2156" s="196"/>
      <c r="J2156" s="196" t="s">
        <v>29</v>
      </c>
      <c r="K2156" s="196"/>
      <c r="L2156" s="196" t="str">
        <v xml:space="preserve"> 33.60</v>
      </c>
      <c r="M2156" s="196"/>
    </row>
    <row r="2157" spans="1:13" ht="14.4" x14ac:dyDescent="0.3">
      <c r="A2157" s="189" t="str">
        <f ca="1">IFERROR(__xludf.DUMMYFUNCTION("""COMPUTED_VALUE"""),"WC")</f>
        <v>WC</v>
      </c>
      <c r="B2157" s="197" t="str">
        <f ca="1">IFERROR(__xludf.DUMMYFUNCTION("""COMPUTED_VALUE"""),"Alexa Mansuy")</f>
        <v>Alexa Mansuy</v>
      </c>
      <c r="C2157" s="189">
        <f ca="1">IFERROR(__xludf.DUMMYFUNCTION("""COMPUTED_VALUE"""),14)</f>
        <v>14</v>
      </c>
      <c r="D2157" s="189" t="str">
        <f ca="1">IFERROR(__xludf.DUMMYFUNCTION("""COMPUTED_VALUE"""),"G")</f>
        <v>G</v>
      </c>
      <c r="E2157" s="189" t="str">
        <f ca="1">IFERROR(__xludf.DUMMYFUNCTION("""COMPUTED_VALUE"""),"I")</f>
        <v>I</v>
      </c>
      <c r="F2157" s="189" t="str">
        <f ca="1">IFERROR(__xludf.DUMMYFUNCTION("""COMPUTED_VALUE"""),"S")</f>
        <v>S</v>
      </c>
      <c r="G2157" s="189">
        <f ca="1">IFERROR(__xludf.DUMMYFUNCTION("""COMPUTED_VALUE"""),6)</f>
        <v>6</v>
      </c>
      <c r="H2157" s="196" t="s">
        <v>596</v>
      </c>
      <c r="I2157" s="196"/>
      <c r="J2157" s="196" t="s">
        <v>29</v>
      </c>
      <c r="K2157" s="196"/>
      <c r="L2157" s="196" t="str">
        <v xml:space="preserve"> 146.65</v>
      </c>
      <c r="M2157" s="196"/>
    </row>
    <row r="2158" spans="1:13" ht="14.4" x14ac:dyDescent="0.3">
      <c r="A2158" s="189" t="str">
        <f ca="1">IFERROR(__xludf.DUMMYFUNCTION("""COMPUTED_VALUE"""),"WC")</f>
        <v>WC</v>
      </c>
      <c r="B2158" s="197" t="str">
        <f ca="1">IFERROR(__xludf.DUMMYFUNCTION("""COMPUTED_VALUE"""),"Annabelle Ebaugh")</f>
        <v>Annabelle Ebaugh</v>
      </c>
      <c r="C2158" s="189">
        <f ca="1">IFERROR(__xludf.DUMMYFUNCTION("""COMPUTED_VALUE"""),13)</f>
        <v>13</v>
      </c>
      <c r="D2158" s="189" t="str">
        <f ca="1">IFERROR(__xludf.DUMMYFUNCTION("""COMPUTED_VALUE"""),"G")</f>
        <v>G</v>
      </c>
      <c r="E2158" s="189" t="str">
        <f ca="1">IFERROR(__xludf.DUMMYFUNCTION("""COMPUTED_VALUE"""),"I")</f>
        <v>I</v>
      </c>
      <c r="F2158" s="189" t="str">
        <f ca="1">IFERROR(__xludf.DUMMYFUNCTION("""COMPUTED_VALUE"""),"S")</f>
        <v>S</v>
      </c>
      <c r="G2158" s="189">
        <f ca="1">IFERROR(__xludf.DUMMYFUNCTION("""COMPUTED_VALUE"""),6)</f>
        <v>6</v>
      </c>
      <c r="H2158" s="196" t="s">
        <v>176</v>
      </c>
      <c r="I2158" s="196"/>
      <c r="J2158" s="196" t="s">
        <v>29</v>
      </c>
      <c r="K2158" s="196"/>
      <c r="L2158" s="196" t="str">
        <v xml:space="preserve"> 120.15</v>
      </c>
      <c r="M2158" s="196"/>
    </row>
    <row r="2159" spans="1:13" ht="14.4" x14ac:dyDescent="0.3">
      <c r="A2159" s="189" t="str">
        <f ca="1">IFERROR(__xludf.DUMMYFUNCTION("""COMPUTED_VALUE"""),"WC")</f>
        <v>WC</v>
      </c>
      <c r="B2159" s="197" t="str">
        <f ca="1">IFERROR(__xludf.DUMMYFUNCTION("""COMPUTED_VALUE"""),"Charlotte Fay")</f>
        <v>Charlotte Fay</v>
      </c>
      <c r="C2159" s="189">
        <f ca="1">IFERROR(__xludf.DUMMYFUNCTION("""COMPUTED_VALUE"""),14)</f>
        <v>14</v>
      </c>
      <c r="D2159" s="189" t="str">
        <f ca="1">IFERROR(__xludf.DUMMYFUNCTION("""COMPUTED_VALUE"""),"G")</f>
        <v>G</v>
      </c>
      <c r="E2159" s="189" t="str">
        <f ca="1">IFERROR(__xludf.DUMMYFUNCTION("""COMPUTED_VALUE"""),"I")</f>
        <v>I</v>
      </c>
      <c r="F2159" s="189" t="str">
        <f ca="1">IFERROR(__xludf.DUMMYFUNCTION("""COMPUTED_VALUE"""),"S")</f>
        <v>S</v>
      </c>
      <c r="G2159" s="189">
        <f ca="1">IFERROR(__xludf.DUMMYFUNCTION("""COMPUTED_VALUE"""),6)</f>
        <v>6</v>
      </c>
      <c r="H2159" s="196" t="s">
        <v>840</v>
      </c>
      <c r="I2159" s="196"/>
      <c r="J2159" s="196" t="s">
        <v>29</v>
      </c>
      <c r="K2159" s="196"/>
      <c r="L2159" s="196" t="str">
        <v xml:space="preserve"> 129.95</v>
      </c>
      <c r="M2159" s="196"/>
    </row>
    <row r="2160" spans="1:13" ht="14.4" x14ac:dyDescent="0.3">
      <c r="A2160" s="189" t="str">
        <f ca="1">IFERROR(__xludf.DUMMYFUNCTION("""COMPUTED_VALUE"""),"WC")</f>
        <v>WC</v>
      </c>
      <c r="B2160" s="197" t="str">
        <f ca="1">IFERROR(__xludf.DUMMYFUNCTION("""COMPUTED_VALUE"""),"Emily Fay")</f>
        <v>Emily Fay</v>
      </c>
      <c r="C2160" s="189">
        <f ca="1">IFERROR(__xludf.DUMMYFUNCTION("""COMPUTED_VALUE"""),12)</f>
        <v>12</v>
      </c>
      <c r="D2160" s="189" t="str">
        <f ca="1">IFERROR(__xludf.DUMMYFUNCTION("""COMPUTED_VALUE"""),"G")</f>
        <v>G</v>
      </c>
      <c r="E2160" s="189" t="str">
        <f ca="1">IFERROR(__xludf.DUMMYFUNCTION("""COMPUTED_VALUE"""),"J")</f>
        <v>J</v>
      </c>
      <c r="F2160" s="189" t="str">
        <f ca="1">IFERROR(__xludf.DUMMYFUNCTION("""COMPUTED_VALUE"""),"I")</f>
        <v>I</v>
      </c>
      <c r="G2160" s="189">
        <f ca="1">IFERROR(__xludf.DUMMYFUNCTION("""COMPUTED_VALUE"""),6)</f>
        <v>6</v>
      </c>
      <c r="H2160" s="196" t="s">
        <v>154</v>
      </c>
      <c r="I2160" s="196"/>
      <c r="J2160" s="196" t="s">
        <v>29</v>
      </c>
      <c r="K2160" s="196"/>
      <c r="L2160" s="196" t="str">
        <v xml:space="preserve"> 87.95</v>
      </c>
      <c r="M2160" s="196"/>
    </row>
    <row r="2161" spans="1:13" ht="14.4" x14ac:dyDescent="0.3">
      <c r="A2161" s="189" t="str">
        <f ca="1">IFERROR(__xludf.DUMMYFUNCTION("""COMPUTED_VALUE"""),"WC")</f>
        <v>WC</v>
      </c>
      <c r="B2161" s="197" t="str">
        <f ca="1">IFERROR(__xludf.DUMMYFUNCTION("""COMPUTED_VALUE"""),"Eva Negrelli")</f>
        <v>Eva Negrelli</v>
      </c>
      <c r="C2161" s="189">
        <f ca="1">IFERROR(__xludf.DUMMYFUNCTION("""COMPUTED_VALUE"""),12)</f>
        <v>12</v>
      </c>
      <c r="D2161" s="189" t="str">
        <f ca="1">IFERROR(__xludf.DUMMYFUNCTION("""COMPUTED_VALUE"""),"G")</f>
        <v>G</v>
      </c>
      <c r="E2161" s="189" t="str">
        <f ca="1">IFERROR(__xludf.DUMMYFUNCTION("""COMPUTED_VALUE"""),"J")</f>
        <v>J</v>
      </c>
      <c r="F2161" s="189" t="str">
        <f ca="1">IFERROR(__xludf.DUMMYFUNCTION("""COMPUTED_VALUE"""),"I")</f>
        <v>I</v>
      </c>
      <c r="G2161" s="189">
        <f ca="1">IFERROR(__xludf.DUMMYFUNCTION("""COMPUTED_VALUE"""),6)</f>
        <v>6</v>
      </c>
      <c r="H2161" s="196" t="s">
        <v>841</v>
      </c>
      <c r="I2161" s="196"/>
      <c r="J2161" s="196" t="s">
        <v>29</v>
      </c>
      <c r="K2161" s="196"/>
      <c r="L2161" s="196" t="str">
        <v xml:space="preserve"> 108.00</v>
      </c>
      <c r="M2161" s="196"/>
    </row>
    <row r="2162" spans="1:13" ht="14.4" x14ac:dyDescent="0.3">
      <c r="A2162" s="189" t="str">
        <f ca="1">IFERROR(__xludf.DUMMYFUNCTION("""COMPUTED_VALUE"""),"WC")</f>
        <v>WC</v>
      </c>
      <c r="B2162" s="197" t="str">
        <f ca="1">IFERROR(__xludf.DUMMYFUNCTION("""COMPUTED_VALUE"""),"Joelle Saunders")</f>
        <v>Joelle Saunders</v>
      </c>
      <c r="C2162" s="189">
        <f ca="1">IFERROR(__xludf.DUMMYFUNCTION("""COMPUTED_VALUE"""),12)</f>
        <v>12</v>
      </c>
      <c r="D2162" s="189" t="str">
        <f ca="1">IFERROR(__xludf.DUMMYFUNCTION("""COMPUTED_VALUE"""),"G")</f>
        <v>G</v>
      </c>
      <c r="E2162" s="189" t="str">
        <f ca="1">IFERROR(__xludf.DUMMYFUNCTION("""COMPUTED_VALUE"""),"J")</f>
        <v>J</v>
      </c>
      <c r="F2162" s="189" t="str">
        <f ca="1">IFERROR(__xludf.DUMMYFUNCTION("""COMPUTED_VALUE"""),"I")</f>
        <v>I</v>
      </c>
      <c r="G2162" s="189">
        <f ca="1">IFERROR(__xludf.DUMMYFUNCTION("""COMPUTED_VALUE"""),6)</f>
        <v>6</v>
      </c>
      <c r="H2162" s="196"/>
      <c r="I2162" s="196"/>
      <c r="J2162" s="196"/>
      <c r="K2162" s="196"/>
      <c r="L2162" s="196" t="str">
        <v/>
      </c>
      <c r="M2162" s="196"/>
    </row>
    <row r="2163" spans="1:13" ht="14.4" x14ac:dyDescent="0.3">
      <c r="A2163" s="189" t="str">
        <f ca="1">IFERROR(__xludf.DUMMYFUNCTION("""COMPUTED_VALUE"""),"WC")</f>
        <v>WC</v>
      </c>
      <c r="B2163" s="197" t="str">
        <f ca="1">IFERROR(__xludf.DUMMYFUNCTION("""COMPUTED_VALUE"""),"Katherine Walsh")</f>
        <v>Katherine Walsh</v>
      </c>
      <c r="C2163" s="189">
        <f ca="1">IFERROR(__xludf.DUMMYFUNCTION("""COMPUTED_VALUE"""),12)</f>
        <v>12</v>
      </c>
      <c r="D2163" s="189" t="str">
        <f ca="1">IFERROR(__xludf.DUMMYFUNCTION("""COMPUTED_VALUE"""),"G")</f>
        <v>G</v>
      </c>
      <c r="E2163" s="189" t="str">
        <f ca="1">IFERROR(__xludf.DUMMYFUNCTION("""COMPUTED_VALUE"""),"J")</f>
        <v>J</v>
      </c>
      <c r="F2163" s="189" t="str">
        <f ca="1">IFERROR(__xludf.DUMMYFUNCTION("""COMPUTED_VALUE"""),"I")</f>
        <v>I</v>
      </c>
      <c r="G2163" s="189">
        <f ca="1">IFERROR(__xludf.DUMMYFUNCTION("""COMPUTED_VALUE"""),6)</f>
        <v>6</v>
      </c>
      <c r="H2163" s="196"/>
      <c r="I2163" s="196"/>
      <c r="J2163" s="196"/>
      <c r="K2163" s="196"/>
      <c r="L2163" s="196" t="str">
        <v/>
      </c>
      <c r="M2163" s="196"/>
    </row>
    <row r="2164" spans="1:13" ht="14.4" x14ac:dyDescent="0.3">
      <c r="A2164" s="189" t="str">
        <f ca="1">IFERROR(__xludf.DUMMYFUNCTION("""COMPUTED_VALUE"""),"WC")</f>
        <v>WC</v>
      </c>
      <c r="B2164" s="197" t="str">
        <f ca="1">IFERROR(__xludf.DUMMYFUNCTION("""COMPUTED_VALUE"""),"Leila Adams")</f>
        <v>Leila Adams</v>
      </c>
      <c r="C2164" s="189">
        <f ca="1">IFERROR(__xludf.DUMMYFUNCTION("""COMPUTED_VALUE"""),12)</f>
        <v>12</v>
      </c>
      <c r="D2164" s="189" t="str">
        <f ca="1">IFERROR(__xludf.DUMMYFUNCTION("""COMPUTED_VALUE"""),"G")</f>
        <v>G</v>
      </c>
      <c r="E2164" s="189" t="str">
        <f ca="1">IFERROR(__xludf.DUMMYFUNCTION("""COMPUTED_VALUE"""),"J")</f>
        <v>J</v>
      </c>
      <c r="F2164" s="189" t="str">
        <f ca="1">IFERROR(__xludf.DUMMYFUNCTION("""COMPUTED_VALUE"""),"I")</f>
        <v>I</v>
      </c>
      <c r="G2164" s="189">
        <f ca="1">IFERROR(__xludf.DUMMYFUNCTION("""COMPUTED_VALUE"""),6)</f>
        <v>6</v>
      </c>
      <c r="H2164" s="196" t="s">
        <v>599</v>
      </c>
      <c r="I2164" s="196"/>
      <c r="J2164" s="196" t="s">
        <v>29</v>
      </c>
      <c r="K2164" s="196"/>
      <c r="L2164" s="196" t="str">
        <v xml:space="preserve"> 57.80</v>
      </c>
      <c r="M2164" s="196"/>
    </row>
    <row r="2165" spans="1:13" ht="14.4" x14ac:dyDescent="0.3">
      <c r="A2165" s="189" t="str">
        <f ca="1">IFERROR(__xludf.DUMMYFUNCTION("""COMPUTED_VALUE"""),"WC")</f>
        <v>WC</v>
      </c>
      <c r="B2165" s="197" t="str">
        <f ca="1">IFERROR(__xludf.DUMMYFUNCTION("""COMPUTED_VALUE"""),"Sasha Demestihas")</f>
        <v>Sasha Demestihas</v>
      </c>
      <c r="C2165" s="189">
        <f ca="1">IFERROR(__xludf.DUMMYFUNCTION("""COMPUTED_VALUE"""),12)</f>
        <v>12</v>
      </c>
      <c r="D2165" s="189" t="str">
        <f ca="1">IFERROR(__xludf.DUMMYFUNCTION("""COMPUTED_VALUE"""),"G")</f>
        <v>G</v>
      </c>
      <c r="E2165" s="189" t="str">
        <f ca="1">IFERROR(__xludf.DUMMYFUNCTION("""COMPUTED_VALUE"""),"J")</f>
        <v>J</v>
      </c>
      <c r="F2165" s="189" t="str">
        <f ca="1">IFERROR(__xludf.DUMMYFUNCTION("""COMPUTED_VALUE"""),"I")</f>
        <v>I</v>
      </c>
      <c r="G2165" s="189">
        <f ca="1">IFERROR(__xludf.DUMMYFUNCTION("""COMPUTED_VALUE"""),6)</f>
        <v>6</v>
      </c>
      <c r="H2165" s="196"/>
      <c r="I2165" s="196"/>
      <c r="J2165" s="196"/>
      <c r="K2165" s="196"/>
      <c r="L2165" s="196" t="str">
        <v/>
      </c>
      <c r="M2165" s="196"/>
    </row>
    <row r="2166" spans="1:13" ht="14.4" x14ac:dyDescent="0.3">
      <c r="A2166" s="189" t="str">
        <f ca="1">IFERROR(__xludf.DUMMYFUNCTION("""COMPUTED_VALUE"""),"WC")</f>
        <v>WC</v>
      </c>
      <c r="B2166" s="197" t="str">
        <f ca="1">IFERROR(__xludf.DUMMYFUNCTION("""COMPUTED_VALUE"""),"Tanner Williams")</f>
        <v>Tanner Williams</v>
      </c>
      <c r="C2166" s="189">
        <f ca="1">IFERROR(__xludf.DUMMYFUNCTION("""COMPUTED_VALUE"""),11)</f>
        <v>11</v>
      </c>
      <c r="D2166" s="189" t="str">
        <f ca="1">IFERROR(__xludf.DUMMYFUNCTION("""COMPUTED_VALUE"""),"B")</f>
        <v>B</v>
      </c>
      <c r="E2166" s="189" t="str">
        <f ca="1">IFERROR(__xludf.DUMMYFUNCTION("""COMPUTED_VALUE"""),"J")</f>
        <v>J</v>
      </c>
      <c r="F2166" s="189" t="str">
        <f ca="1">IFERROR(__xludf.DUMMYFUNCTION("""COMPUTED_VALUE"""),"I")</f>
        <v>I</v>
      </c>
      <c r="G2166" s="189">
        <f ca="1">IFERROR(__xludf.DUMMYFUNCTION("""COMPUTED_VALUE"""),6)</f>
        <v>6</v>
      </c>
      <c r="H2166" s="196"/>
      <c r="I2166" s="196"/>
      <c r="J2166" s="196"/>
      <c r="K2166" s="196"/>
      <c r="L2166" s="196" t="str">
        <v/>
      </c>
      <c r="M2166" s="196"/>
    </row>
    <row r="2167" spans="1:13" ht="14.4" x14ac:dyDescent="0.3">
      <c r="A2167" s="189" t="str">
        <f ca="1">IFERROR(__xludf.DUMMYFUNCTION("""COMPUTED_VALUE"""),"WC")</f>
        <v>WC</v>
      </c>
      <c r="B2167" s="197" t="str">
        <f ca="1">IFERROR(__xludf.DUMMYFUNCTION("""COMPUTED_VALUE"""),"Thomson d'Amboise")</f>
        <v>Thomson d'Amboise</v>
      </c>
      <c r="C2167" s="189">
        <f ca="1">IFERROR(__xludf.DUMMYFUNCTION("""COMPUTED_VALUE"""),12)</f>
        <v>12</v>
      </c>
      <c r="D2167" s="189" t="str">
        <f ca="1">IFERROR(__xludf.DUMMYFUNCTION("""COMPUTED_VALUE"""),"B")</f>
        <v>B</v>
      </c>
      <c r="E2167" s="189" t="str">
        <f ca="1">IFERROR(__xludf.DUMMYFUNCTION("""COMPUTED_VALUE"""),"J")</f>
        <v>J</v>
      </c>
      <c r="F2167" s="189" t="str">
        <f ca="1">IFERROR(__xludf.DUMMYFUNCTION("""COMPUTED_VALUE"""),"I")</f>
        <v>I</v>
      </c>
      <c r="G2167" s="189">
        <f ca="1">IFERROR(__xludf.DUMMYFUNCTION("""COMPUTED_VALUE"""),6)</f>
        <v>6</v>
      </c>
      <c r="H2167" s="196"/>
      <c r="I2167" s="196"/>
      <c r="J2167" s="196"/>
      <c r="K2167" s="196"/>
      <c r="L2167" s="196" t="str">
        <v/>
      </c>
      <c r="M2167" s="196"/>
    </row>
    <row r="2168" spans="1:13" ht="14.4" x14ac:dyDescent="0.3">
      <c r="A2168" s="189" t="str">
        <f ca="1">IFERROR(__xludf.DUMMYFUNCTION("""COMPUTED_VALUE"""),"WC")</f>
        <v>WC</v>
      </c>
      <c r="B2168" s="197" t="str">
        <f ca="1">IFERROR(__xludf.DUMMYFUNCTION("""COMPUTED_VALUE"""),"Amy Nam")</f>
        <v>Amy Nam</v>
      </c>
      <c r="C2168" s="189">
        <f ca="1">IFERROR(__xludf.DUMMYFUNCTION("""COMPUTED_VALUE"""),15)</f>
        <v>15</v>
      </c>
      <c r="D2168" s="189" t="str">
        <f ca="1">IFERROR(__xludf.DUMMYFUNCTION("""COMPUTED_VALUE"""),"G")</f>
        <v>G</v>
      </c>
      <c r="E2168" s="189" t="str">
        <f ca="1">IFERROR(__xludf.DUMMYFUNCTION("""COMPUTED_VALUE"""),"S")</f>
        <v>S</v>
      </c>
      <c r="F2168" s="189" t="str">
        <f ca="1">IFERROR(__xludf.DUMMYFUNCTION("""COMPUTED_VALUE"""),"S")</f>
        <v>S</v>
      </c>
      <c r="G2168" s="189">
        <f ca="1">IFERROR(__xludf.DUMMYFUNCTION("""COMPUTED_VALUE"""),6)</f>
        <v>6</v>
      </c>
      <c r="H2168" s="196"/>
      <c r="I2168" s="196"/>
      <c r="J2168" s="196"/>
      <c r="K2168" s="196"/>
      <c r="L2168" s="196" t="str">
        <v/>
      </c>
      <c r="M2168" s="196"/>
    </row>
    <row r="2169" spans="1:13" ht="14.4" x14ac:dyDescent="0.3">
      <c r="A2169" s="189" t="str">
        <f ca="1">IFERROR(__xludf.DUMMYFUNCTION("""COMPUTED_VALUE"""),"WC")</f>
        <v>WC</v>
      </c>
      <c r="B2169" s="197" t="str">
        <f ca="1">IFERROR(__xludf.DUMMYFUNCTION("""COMPUTED_VALUE"""),"Madison Ebaugh")</f>
        <v>Madison Ebaugh</v>
      </c>
      <c r="C2169" s="189">
        <f ca="1">IFERROR(__xludf.DUMMYFUNCTION("""COMPUTED_VALUE"""),15)</f>
        <v>15</v>
      </c>
      <c r="D2169" s="189" t="str">
        <f ca="1">IFERROR(__xludf.DUMMYFUNCTION("""COMPUTED_VALUE"""),"G")</f>
        <v>G</v>
      </c>
      <c r="E2169" s="189" t="str">
        <f ca="1">IFERROR(__xludf.DUMMYFUNCTION("""COMPUTED_VALUE"""),"S")</f>
        <v>S</v>
      </c>
      <c r="F2169" s="189" t="str">
        <f ca="1">IFERROR(__xludf.DUMMYFUNCTION("""COMPUTED_VALUE"""),"S")</f>
        <v>S</v>
      </c>
      <c r="G2169" s="189">
        <f ca="1">IFERROR(__xludf.DUMMYFUNCTION("""COMPUTED_VALUE"""),6)</f>
        <v>6</v>
      </c>
      <c r="H2169" s="196" t="s">
        <v>842</v>
      </c>
      <c r="I2169" s="196"/>
      <c r="J2169" s="196" t="s">
        <v>29</v>
      </c>
      <c r="K2169" s="196"/>
      <c r="L2169" s="196" t="str">
        <v xml:space="preserve"> 134.70</v>
      </c>
      <c r="M2169" s="196"/>
    </row>
    <row r="2170" spans="1:13" ht="14.4" x14ac:dyDescent="0.3">
      <c r="A2170" s="189" t="str">
        <f ca="1">IFERROR(__xludf.DUMMYFUNCTION("""COMPUTED_VALUE"""),"WC")</f>
        <v>WC</v>
      </c>
      <c r="B2170" s="197" t="str">
        <f ca="1">IFERROR(__xludf.DUMMYFUNCTION("""COMPUTED_VALUE"""),"Luke Goodson")</f>
        <v>Luke Goodson</v>
      </c>
      <c r="C2170" s="189">
        <f ca="1">IFERROR(__xludf.DUMMYFUNCTION("""COMPUTED_VALUE"""),16)</f>
        <v>16</v>
      </c>
      <c r="D2170" s="189" t="str">
        <f ca="1">IFERROR(__xludf.DUMMYFUNCTION("""COMPUTED_VALUE"""),"B")</f>
        <v>B</v>
      </c>
      <c r="E2170" s="189" t="str">
        <f ca="1">IFERROR(__xludf.DUMMYFUNCTION("""COMPUTED_VALUE"""),"S")</f>
        <v>S</v>
      </c>
      <c r="F2170" s="189" t="str">
        <f ca="1">IFERROR(__xludf.DUMMYFUNCTION("""COMPUTED_VALUE"""),"S")</f>
        <v>S</v>
      </c>
      <c r="G2170" s="189">
        <f ca="1">IFERROR(__xludf.DUMMYFUNCTION("""COMPUTED_VALUE"""),6)</f>
        <v>6</v>
      </c>
      <c r="H2170" s="196" t="s">
        <v>843</v>
      </c>
      <c r="I2170" s="196"/>
      <c r="J2170" s="196" t="s">
        <v>29</v>
      </c>
      <c r="K2170" s="196"/>
      <c r="L2170" s="196" t="str">
        <v xml:space="preserve"> 138.60</v>
      </c>
      <c r="M2170" s="196"/>
    </row>
    <row r="2171" spans="1:13" ht="14.4" x14ac:dyDescent="0.3">
      <c r="A2171" s="189" t="str">
        <f ca="1">IFERROR(__xludf.DUMMYFUNCTION("""COMPUTED_VALUE"""),"WC")</f>
        <v>WC</v>
      </c>
      <c r="B2171" s="197" t="str">
        <f ca="1">IFERROR(__xludf.DUMMYFUNCTION("""COMPUTED_VALUE"""),"Nathaniel Grannis")</f>
        <v>Nathaniel Grannis</v>
      </c>
      <c r="C2171" s="189">
        <f ca="1">IFERROR(__xludf.DUMMYFUNCTION("""COMPUTED_VALUE"""),16)</f>
        <v>16</v>
      </c>
      <c r="D2171" s="189" t="str">
        <f ca="1">IFERROR(__xludf.DUMMYFUNCTION("""COMPUTED_VALUE"""),"B")</f>
        <v>B</v>
      </c>
      <c r="E2171" s="189" t="str">
        <f ca="1">IFERROR(__xludf.DUMMYFUNCTION("""COMPUTED_VALUE"""),"S")</f>
        <v>S</v>
      </c>
      <c r="F2171" s="189" t="str">
        <f ca="1">IFERROR(__xludf.DUMMYFUNCTION("""COMPUTED_VALUE"""),"S")</f>
        <v>S</v>
      </c>
      <c r="G2171" s="189">
        <f ca="1">IFERROR(__xludf.DUMMYFUNCTION("""COMPUTED_VALUE"""),6)</f>
        <v>6</v>
      </c>
      <c r="H2171" s="196"/>
      <c r="I2171" s="196"/>
      <c r="J2171" s="196"/>
      <c r="K2171" s="196"/>
      <c r="L2171" s="196" t="str">
        <v/>
      </c>
      <c r="M2171" s="196"/>
    </row>
    <row r="2172" spans="1:13" ht="14.4" x14ac:dyDescent="0.3">
      <c r="A2172" s="189" t="str">
        <f ca="1">IFERROR(__xludf.DUMMYFUNCTION("""COMPUTED_VALUE"""),"WC")</f>
        <v>WC</v>
      </c>
      <c r="B2172" s="197" t="str">
        <f ca="1">IFERROR(__xludf.DUMMYFUNCTION("""COMPUTED_VALUE"""),"Seamus McNamara")</f>
        <v>Seamus McNamara</v>
      </c>
      <c r="C2172" s="189">
        <f ca="1">IFERROR(__xludf.DUMMYFUNCTION("""COMPUTED_VALUE"""),15)</f>
        <v>15</v>
      </c>
      <c r="D2172" s="189" t="str">
        <f ca="1">IFERROR(__xludf.DUMMYFUNCTION("""COMPUTED_VALUE"""),"B")</f>
        <v>B</v>
      </c>
      <c r="E2172" s="189" t="str">
        <f ca="1">IFERROR(__xludf.DUMMYFUNCTION("""COMPUTED_VALUE"""),"S")</f>
        <v>S</v>
      </c>
      <c r="F2172" s="189" t="str">
        <f ca="1">IFERROR(__xludf.DUMMYFUNCTION("""COMPUTED_VALUE"""),"S")</f>
        <v>S</v>
      </c>
      <c r="G2172" s="189">
        <f ca="1">IFERROR(__xludf.DUMMYFUNCTION("""COMPUTED_VALUE"""),6)</f>
        <v>6</v>
      </c>
      <c r="H2172" s="196"/>
      <c r="I2172" s="196"/>
      <c r="J2172" s="196"/>
      <c r="K2172" s="196"/>
      <c r="L2172" s="196" t="str">
        <v/>
      </c>
      <c r="M2172" s="196"/>
    </row>
    <row r="2173" spans="1:13" ht="14.4" x14ac:dyDescent="0.3">
      <c r="A2173" s="189" t="str">
        <f ca="1">IFERROR(__xludf.DUMMYFUNCTION("""COMPUTED_VALUE"""),"WG")</f>
        <v>WG</v>
      </c>
      <c r="B2173" s="197" t="str">
        <f ca="1">IFERROR(__xludf.DUMMYFUNCTION("""COMPUTED_VALUE"""),"Addison D'Avilar")</f>
        <v>Addison D'Avilar</v>
      </c>
      <c r="C2173" s="189">
        <f ca="1">IFERROR(__xludf.DUMMYFUNCTION("""COMPUTED_VALUE"""),8)</f>
        <v>8</v>
      </c>
      <c r="D2173" s="189" t="str">
        <f ca="1">IFERROR(__xludf.DUMMYFUNCTION("""COMPUTED_VALUE"""),"G")</f>
        <v>G</v>
      </c>
      <c r="E2173" s="189" t="str">
        <f ca="1">IFERROR(__xludf.DUMMYFUNCTION("""COMPUTED_VALUE"""),"F")</f>
        <v>F</v>
      </c>
      <c r="F2173" s="189" t="str">
        <f ca="1">IFERROR(__xludf.DUMMYFUNCTION("""COMPUTED_VALUE"""),"J")</f>
        <v>J</v>
      </c>
      <c r="G2173" s="189">
        <f ca="1">IFERROR(__xludf.DUMMYFUNCTION("""COMPUTED_VALUE"""),3)</f>
        <v>3</v>
      </c>
      <c r="H2173" s="196"/>
      <c r="I2173" s="196"/>
      <c r="J2173" s="196"/>
      <c r="K2173" s="196"/>
      <c r="L2173" s="196" t="str">
        <v/>
      </c>
      <c r="M2173" s="196"/>
    </row>
    <row r="2174" spans="1:13" ht="14.4" x14ac:dyDescent="0.3">
      <c r="A2174" s="189" t="str">
        <f ca="1">IFERROR(__xludf.DUMMYFUNCTION("""COMPUTED_VALUE"""),"WG")</f>
        <v>WG</v>
      </c>
      <c r="B2174" s="197" t="str">
        <f ca="1">IFERROR(__xludf.DUMMYFUNCTION("""COMPUTED_VALUE"""),"Anna Zrembski")</f>
        <v>Anna Zrembski</v>
      </c>
      <c r="C2174" s="189">
        <f ca="1">IFERROR(__xludf.DUMMYFUNCTION("""COMPUTED_VALUE"""),9)</f>
        <v>9</v>
      </c>
      <c r="D2174" s="189" t="str">
        <f ca="1">IFERROR(__xludf.DUMMYFUNCTION("""COMPUTED_VALUE"""),"G")</f>
        <v>G</v>
      </c>
      <c r="E2174" s="189" t="str">
        <f ca="1">IFERROR(__xludf.DUMMYFUNCTION("""COMPUTED_VALUE"""),"F")</f>
        <v>F</v>
      </c>
      <c r="F2174" s="189" t="str">
        <f ca="1">IFERROR(__xludf.DUMMYFUNCTION("""COMPUTED_VALUE"""),"J")</f>
        <v>J</v>
      </c>
      <c r="G2174" s="189">
        <f ca="1">IFERROR(__xludf.DUMMYFUNCTION("""COMPUTED_VALUE"""),3)</f>
        <v>3</v>
      </c>
      <c r="H2174" s="196"/>
      <c r="I2174" s="196"/>
      <c r="J2174" s="196"/>
      <c r="K2174" s="196"/>
      <c r="L2174" s="196" t="str">
        <v/>
      </c>
      <c r="M2174" s="196"/>
    </row>
    <row r="2175" spans="1:13" ht="14.4" x14ac:dyDescent="0.3">
      <c r="A2175" s="189" t="str">
        <f ca="1">IFERROR(__xludf.DUMMYFUNCTION("""COMPUTED_VALUE"""),"WG")</f>
        <v>WG</v>
      </c>
      <c r="B2175" s="197" t="str">
        <f ca="1">IFERROR(__xludf.DUMMYFUNCTION("""COMPUTED_VALUE"""),"Charlotte Rusnak")</f>
        <v>Charlotte Rusnak</v>
      </c>
      <c r="C2175" s="189">
        <f ca="1">IFERROR(__xludf.DUMMYFUNCTION("""COMPUTED_VALUE"""),7)</f>
        <v>7</v>
      </c>
      <c r="D2175" s="189" t="str">
        <f ca="1">IFERROR(__xludf.DUMMYFUNCTION("""COMPUTED_VALUE"""),"G")</f>
        <v>G</v>
      </c>
      <c r="E2175" s="189" t="str">
        <f ca="1">IFERROR(__xludf.DUMMYFUNCTION("""COMPUTED_VALUE"""),"F")</f>
        <v>F</v>
      </c>
      <c r="F2175" s="189" t="str">
        <f ca="1">IFERROR(__xludf.DUMMYFUNCTION("""COMPUTED_VALUE"""),"J")</f>
        <v>J</v>
      </c>
      <c r="G2175" s="189">
        <f ca="1">IFERROR(__xludf.DUMMYFUNCTION("""COMPUTED_VALUE"""),3)</f>
        <v>3</v>
      </c>
      <c r="H2175" s="196" t="s">
        <v>844</v>
      </c>
      <c r="I2175" s="196"/>
      <c r="J2175" s="196" t="s">
        <v>29</v>
      </c>
      <c r="K2175" s="196"/>
      <c r="L2175" s="196" t="str">
        <v xml:space="preserve"> 42.35</v>
      </c>
      <c r="M2175" s="196"/>
    </row>
    <row r="2176" spans="1:13" ht="14.4" x14ac:dyDescent="0.3">
      <c r="A2176" s="189" t="str">
        <f ca="1">IFERROR(__xludf.DUMMYFUNCTION("""COMPUTED_VALUE"""),"WG")</f>
        <v>WG</v>
      </c>
      <c r="B2176" s="197" t="str">
        <f ca="1">IFERROR(__xludf.DUMMYFUNCTION("""COMPUTED_VALUE"""),"Eliska Brown")</f>
        <v>Eliska Brown</v>
      </c>
      <c r="C2176" s="189">
        <f ca="1">IFERROR(__xludf.DUMMYFUNCTION("""COMPUTED_VALUE"""),10)</f>
        <v>10</v>
      </c>
      <c r="D2176" s="189" t="str">
        <f ca="1">IFERROR(__xludf.DUMMYFUNCTION("""COMPUTED_VALUE"""),"G")</f>
        <v>G</v>
      </c>
      <c r="E2176" s="189" t="str">
        <f ca="1">IFERROR(__xludf.DUMMYFUNCTION("""COMPUTED_VALUE"""),"F")</f>
        <v>F</v>
      </c>
      <c r="F2176" s="189" t="str">
        <f ca="1">IFERROR(__xludf.DUMMYFUNCTION("""COMPUTED_VALUE"""),"J")</f>
        <v>J</v>
      </c>
      <c r="G2176" s="189">
        <f ca="1">IFERROR(__xludf.DUMMYFUNCTION("""COMPUTED_VALUE"""),3)</f>
        <v>3</v>
      </c>
      <c r="H2176" s="196" t="s">
        <v>845</v>
      </c>
      <c r="I2176" s="196"/>
      <c r="J2176" s="196" t="s">
        <v>29</v>
      </c>
      <c r="K2176" s="196"/>
      <c r="L2176" s="196" t="str">
        <v xml:space="preserve"> 53.10</v>
      </c>
      <c r="M2176" s="196"/>
    </row>
    <row r="2177" spans="1:13" ht="14.4" x14ac:dyDescent="0.3">
      <c r="A2177" s="189" t="str">
        <f ca="1">IFERROR(__xludf.DUMMYFUNCTION("""COMPUTED_VALUE"""),"WG")</f>
        <v>WG</v>
      </c>
      <c r="B2177" s="197" t="str">
        <f ca="1">IFERROR(__xludf.DUMMYFUNCTION("""COMPUTED_VALUE"""),"Emma Phillips")</f>
        <v>Emma Phillips</v>
      </c>
      <c r="C2177" s="189">
        <f ca="1">IFERROR(__xludf.DUMMYFUNCTION("""COMPUTED_VALUE"""),9)</f>
        <v>9</v>
      </c>
      <c r="D2177" s="189" t="str">
        <f ca="1">IFERROR(__xludf.DUMMYFUNCTION("""COMPUTED_VALUE"""),"G")</f>
        <v>G</v>
      </c>
      <c r="E2177" s="189" t="str">
        <f ca="1">IFERROR(__xludf.DUMMYFUNCTION("""COMPUTED_VALUE"""),"F")</f>
        <v>F</v>
      </c>
      <c r="F2177" s="189" t="str">
        <f ca="1">IFERROR(__xludf.DUMMYFUNCTION("""COMPUTED_VALUE"""),"J")</f>
        <v>J</v>
      </c>
      <c r="G2177" s="189">
        <f ca="1">IFERROR(__xludf.DUMMYFUNCTION("""COMPUTED_VALUE"""),3)</f>
        <v>3</v>
      </c>
      <c r="H2177" s="196" t="s">
        <v>846</v>
      </c>
      <c r="I2177" s="196"/>
      <c r="J2177" s="196" t="s">
        <v>29</v>
      </c>
      <c r="K2177" s="196"/>
      <c r="L2177" s="196" t="str">
        <v xml:space="preserve"> 63.95</v>
      </c>
      <c r="M2177" s="196"/>
    </row>
    <row r="2178" spans="1:13" ht="14.4" x14ac:dyDescent="0.3">
      <c r="A2178" s="189" t="str">
        <f ca="1">IFERROR(__xludf.DUMMYFUNCTION("""COMPUTED_VALUE"""),"WG")</f>
        <v>WG</v>
      </c>
      <c r="B2178" s="197" t="str">
        <f ca="1">IFERROR(__xludf.DUMMYFUNCTION("""COMPUTED_VALUE"""),"Lilly Cameron")</f>
        <v>Lilly Cameron</v>
      </c>
      <c r="C2178" s="189">
        <f ca="1">IFERROR(__xludf.DUMMYFUNCTION("""COMPUTED_VALUE"""),7)</f>
        <v>7</v>
      </c>
      <c r="D2178" s="189" t="str">
        <f ca="1">IFERROR(__xludf.DUMMYFUNCTION("""COMPUTED_VALUE"""),"G")</f>
        <v>G</v>
      </c>
      <c r="E2178" s="189" t="str">
        <f ca="1">IFERROR(__xludf.DUMMYFUNCTION("""COMPUTED_VALUE"""),"F")</f>
        <v>F</v>
      </c>
      <c r="F2178" s="189" t="str">
        <f ca="1">IFERROR(__xludf.DUMMYFUNCTION("""COMPUTED_VALUE"""),"J")</f>
        <v>J</v>
      </c>
      <c r="G2178" s="189">
        <f ca="1">IFERROR(__xludf.DUMMYFUNCTION("""COMPUTED_VALUE"""),3)</f>
        <v>3</v>
      </c>
      <c r="H2178" s="196"/>
      <c r="I2178" s="196"/>
      <c r="J2178" s="196"/>
      <c r="K2178" s="196"/>
      <c r="L2178" s="196" t="str">
        <v/>
      </c>
      <c r="M2178" s="196"/>
    </row>
    <row r="2179" spans="1:13" ht="14.4" x14ac:dyDescent="0.3">
      <c r="A2179" s="189" t="str">
        <f ca="1">IFERROR(__xludf.DUMMYFUNCTION("""COMPUTED_VALUE"""),"WG")</f>
        <v>WG</v>
      </c>
      <c r="B2179" s="197" t="str">
        <f ca="1">IFERROR(__xludf.DUMMYFUNCTION("""COMPUTED_VALUE"""),"Polina Lisnik")</f>
        <v>Polina Lisnik</v>
      </c>
      <c r="C2179" s="189">
        <f ca="1">IFERROR(__xludf.DUMMYFUNCTION("""COMPUTED_VALUE"""),8)</f>
        <v>8</v>
      </c>
      <c r="D2179" s="189" t="str">
        <f ca="1">IFERROR(__xludf.DUMMYFUNCTION("""COMPUTED_VALUE"""),"G")</f>
        <v>G</v>
      </c>
      <c r="E2179" s="189" t="str">
        <f ca="1">IFERROR(__xludf.DUMMYFUNCTION("""COMPUTED_VALUE"""),"F")</f>
        <v>F</v>
      </c>
      <c r="F2179" s="189" t="str">
        <f ca="1">IFERROR(__xludf.DUMMYFUNCTION("""COMPUTED_VALUE"""),"J")</f>
        <v>J</v>
      </c>
      <c r="G2179" s="189">
        <f ca="1">IFERROR(__xludf.DUMMYFUNCTION("""COMPUTED_VALUE"""),3)</f>
        <v>3</v>
      </c>
      <c r="H2179" s="196"/>
      <c r="I2179" s="196"/>
      <c r="J2179" s="196"/>
      <c r="K2179" s="196"/>
      <c r="L2179" s="196" t="str">
        <v/>
      </c>
      <c r="M2179" s="196"/>
    </row>
    <row r="2180" spans="1:13" ht="14.4" x14ac:dyDescent="0.3">
      <c r="A2180" s="189" t="str">
        <f ca="1">IFERROR(__xludf.DUMMYFUNCTION("""COMPUTED_VALUE"""),"WG")</f>
        <v>WG</v>
      </c>
      <c r="B2180" s="197" t="str">
        <f ca="1">IFERROR(__xludf.DUMMYFUNCTION("""COMPUTED_VALUE"""),"Samantha Lanthier")</f>
        <v>Samantha Lanthier</v>
      </c>
      <c r="C2180" s="189">
        <f ca="1">IFERROR(__xludf.DUMMYFUNCTION("""COMPUTED_VALUE"""),10)</f>
        <v>10</v>
      </c>
      <c r="D2180" s="189" t="str">
        <f ca="1">IFERROR(__xludf.DUMMYFUNCTION("""COMPUTED_VALUE"""),"G")</f>
        <v>G</v>
      </c>
      <c r="E2180" s="189" t="str">
        <f ca="1">IFERROR(__xludf.DUMMYFUNCTION("""COMPUTED_VALUE"""),"F")</f>
        <v>F</v>
      </c>
      <c r="F2180" s="189" t="str">
        <f ca="1">IFERROR(__xludf.DUMMYFUNCTION("""COMPUTED_VALUE"""),"J")</f>
        <v>J</v>
      </c>
      <c r="G2180" s="189">
        <f ca="1">IFERROR(__xludf.DUMMYFUNCTION("""COMPUTED_VALUE"""),3)</f>
        <v>3</v>
      </c>
      <c r="H2180" s="196" t="s">
        <v>353</v>
      </c>
      <c r="I2180" s="196"/>
      <c r="J2180" s="196" t="s">
        <v>29</v>
      </c>
      <c r="K2180" s="196"/>
      <c r="L2180" s="196" t="str">
        <v xml:space="preserve"> 51.90</v>
      </c>
      <c r="M2180" s="196"/>
    </row>
    <row r="2181" spans="1:13" ht="14.4" x14ac:dyDescent="0.3">
      <c r="A2181" s="189" t="str">
        <f ca="1">IFERROR(__xludf.DUMMYFUNCTION("""COMPUTED_VALUE"""),"WG")</f>
        <v>WG</v>
      </c>
      <c r="B2181" s="197" t="str">
        <f ca="1">IFERROR(__xludf.DUMMYFUNCTION("""COMPUTED_VALUE"""),"Ahru Lee")</f>
        <v>Ahru Lee</v>
      </c>
      <c r="C2181" s="189">
        <f ca="1">IFERROR(__xludf.DUMMYFUNCTION("""COMPUTED_VALUE"""),8)</f>
        <v>8</v>
      </c>
      <c r="D2181" s="189" t="str">
        <f ca="1">IFERROR(__xludf.DUMMYFUNCTION("""COMPUTED_VALUE"""),"B")</f>
        <v>B</v>
      </c>
      <c r="E2181" s="189" t="str">
        <f ca="1">IFERROR(__xludf.DUMMYFUNCTION("""COMPUTED_VALUE"""),"F")</f>
        <v>F</v>
      </c>
      <c r="F2181" s="189" t="str">
        <f ca="1">IFERROR(__xludf.DUMMYFUNCTION("""COMPUTED_VALUE"""),"J")</f>
        <v>J</v>
      </c>
      <c r="G2181" s="189">
        <f ca="1">IFERROR(__xludf.DUMMYFUNCTION("""COMPUTED_VALUE"""),3)</f>
        <v>3</v>
      </c>
      <c r="H2181" s="196"/>
      <c r="I2181" s="196"/>
      <c r="J2181" s="196"/>
      <c r="K2181" s="196"/>
      <c r="L2181" s="196" t="str">
        <v/>
      </c>
      <c r="M2181" s="196"/>
    </row>
    <row r="2182" spans="1:13" ht="14.4" x14ac:dyDescent="0.3">
      <c r="A2182" s="189" t="str">
        <f ca="1">IFERROR(__xludf.DUMMYFUNCTION("""COMPUTED_VALUE"""),"WG")</f>
        <v>WG</v>
      </c>
      <c r="B2182" s="197" t="str">
        <f ca="1">IFERROR(__xludf.DUMMYFUNCTION("""COMPUTED_VALUE"""),"Augie Rusnak")</f>
        <v>Augie Rusnak</v>
      </c>
      <c r="C2182" s="189">
        <f ca="1">IFERROR(__xludf.DUMMYFUNCTION("""COMPUTED_VALUE"""),7)</f>
        <v>7</v>
      </c>
      <c r="D2182" s="189" t="str">
        <f ca="1">IFERROR(__xludf.DUMMYFUNCTION("""COMPUTED_VALUE"""),"B")</f>
        <v>B</v>
      </c>
      <c r="E2182" s="189" t="str">
        <f ca="1">IFERROR(__xludf.DUMMYFUNCTION("""COMPUTED_VALUE"""),"F")</f>
        <v>F</v>
      </c>
      <c r="F2182" s="189" t="str">
        <f ca="1">IFERROR(__xludf.DUMMYFUNCTION("""COMPUTED_VALUE"""),"J")</f>
        <v>J</v>
      </c>
      <c r="G2182" s="189">
        <f ca="1">IFERROR(__xludf.DUMMYFUNCTION("""COMPUTED_VALUE"""),3)</f>
        <v>3</v>
      </c>
      <c r="H2182" s="196"/>
      <c r="I2182" s="196"/>
      <c r="J2182" s="196"/>
      <c r="K2182" s="196"/>
      <c r="L2182" s="196" t="str">
        <v/>
      </c>
      <c r="M2182" s="196"/>
    </row>
    <row r="2183" spans="1:13" ht="14.4" x14ac:dyDescent="0.3">
      <c r="A2183" s="189" t="str">
        <f ca="1">IFERROR(__xludf.DUMMYFUNCTION("""COMPUTED_VALUE"""),"WG")</f>
        <v>WG</v>
      </c>
      <c r="B2183" s="197" t="str">
        <f ca="1">IFERROR(__xludf.DUMMYFUNCTION("""COMPUTED_VALUE"""),"Caelum Cox")</f>
        <v>Caelum Cox</v>
      </c>
      <c r="C2183" s="189">
        <f ca="1">IFERROR(__xludf.DUMMYFUNCTION("""COMPUTED_VALUE"""),7)</f>
        <v>7</v>
      </c>
      <c r="D2183" s="189" t="str">
        <f ca="1">IFERROR(__xludf.DUMMYFUNCTION("""COMPUTED_VALUE"""),"B")</f>
        <v>B</v>
      </c>
      <c r="E2183" s="189" t="str">
        <f ca="1">IFERROR(__xludf.DUMMYFUNCTION("""COMPUTED_VALUE"""),"F")</f>
        <v>F</v>
      </c>
      <c r="F2183" s="189" t="str">
        <f ca="1">IFERROR(__xludf.DUMMYFUNCTION("""COMPUTED_VALUE"""),"J")</f>
        <v>J</v>
      </c>
      <c r="G2183" s="189">
        <f ca="1">IFERROR(__xludf.DUMMYFUNCTION("""COMPUTED_VALUE"""),3)</f>
        <v>3</v>
      </c>
      <c r="H2183" s="196"/>
      <c r="I2183" s="196"/>
      <c r="J2183" s="196"/>
      <c r="K2183" s="196"/>
      <c r="L2183" s="196" t="str">
        <v/>
      </c>
      <c r="M2183" s="196"/>
    </row>
    <row r="2184" spans="1:13" ht="14.4" x14ac:dyDescent="0.3">
      <c r="A2184" s="189" t="str">
        <f ca="1">IFERROR(__xludf.DUMMYFUNCTION("""COMPUTED_VALUE"""),"WG")</f>
        <v>WG</v>
      </c>
      <c r="B2184" s="197" t="str">
        <f ca="1">IFERROR(__xludf.DUMMYFUNCTION("""COMPUTED_VALUE"""),"Ethan Peebles")</f>
        <v>Ethan Peebles</v>
      </c>
      <c r="C2184" s="189">
        <f ca="1">IFERROR(__xludf.DUMMYFUNCTION("""COMPUTED_VALUE"""),7)</f>
        <v>7</v>
      </c>
      <c r="D2184" s="189" t="str">
        <f ca="1">IFERROR(__xludf.DUMMYFUNCTION("""COMPUTED_VALUE"""),"B")</f>
        <v>B</v>
      </c>
      <c r="E2184" s="189" t="str">
        <f ca="1">IFERROR(__xludf.DUMMYFUNCTION("""COMPUTED_VALUE"""),"F")</f>
        <v>F</v>
      </c>
      <c r="F2184" s="189" t="str">
        <f ca="1">IFERROR(__xludf.DUMMYFUNCTION("""COMPUTED_VALUE"""),"J")</f>
        <v>J</v>
      </c>
      <c r="G2184" s="189">
        <f ca="1">IFERROR(__xludf.DUMMYFUNCTION("""COMPUTED_VALUE"""),3)</f>
        <v>3</v>
      </c>
      <c r="H2184" s="196"/>
      <c r="I2184" s="196"/>
      <c r="J2184" s="196"/>
      <c r="K2184" s="196"/>
      <c r="L2184" s="196" t="str">
        <v/>
      </c>
      <c r="M2184" s="196"/>
    </row>
    <row r="2185" spans="1:13" ht="14.4" x14ac:dyDescent="0.3">
      <c r="A2185" s="189" t="str">
        <f ca="1">IFERROR(__xludf.DUMMYFUNCTION("""COMPUTED_VALUE"""),"WG")</f>
        <v>WG</v>
      </c>
      <c r="B2185" s="197" t="str">
        <f ca="1">IFERROR(__xludf.DUMMYFUNCTION("""COMPUTED_VALUE"""),"Klim Lisnik")</f>
        <v>Klim Lisnik</v>
      </c>
      <c r="C2185" s="189">
        <f ca="1">IFERROR(__xludf.DUMMYFUNCTION("""COMPUTED_VALUE"""),10)</f>
        <v>10</v>
      </c>
      <c r="D2185" s="189" t="str">
        <f ca="1">IFERROR(__xludf.DUMMYFUNCTION("""COMPUTED_VALUE"""),"B")</f>
        <v>B</v>
      </c>
      <c r="E2185" s="189" t="str">
        <f ca="1">IFERROR(__xludf.DUMMYFUNCTION("""COMPUTED_VALUE"""),"F")</f>
        <v>F</v>
      </c>
      <c r="F2185" s="189" t="str">
        <f ca="1">IFERROR(__xludf.DUMMYFUNCTION("""COMPUTED_VALUE"""),"J")</f>
        <v>J</v>
      </c>
      <c r="G2185" s="189">
        <f ca="1">IFERROR(__xludf.DUMMYFUNCTION("""COMPUTED_VALUE"""),3)</f>
        <v>3</v>
      </c>
      <c r="H2185" s="196"/>
      <c r="I2185" s="196"/>
      <c r="J2185" s="196"/>
      <c r="K2185" s="196"/>
      <c r="L2185" s="196" t="str">
        <v/>
      </c>
      <c r="M2185" s="196"/>
    </row>
    <row r="2186" spans="1:13" ht="14.4" x14ac:dyDescent="0.3">
      <c r="A2186" s="189" t="str">
        <f ca="1">IFERROR(__xludf.DUMMYFUNCTION("""COMPUTED_VALUE"""),"WG")</f>
        <v>WG</v>
      </c>
      <c r="B2186" s="197" t="str">
        <f ca="1">IFERROR(__xludf.DUMMYFUNCTION("""COMPUTED_VALUE"""),"Maty Brown")</f>
        <v>Maty Brown</v>
      </c>
      <c r="C2186" s="189">
        <f ca="1">IFERROR(__xludf.DUMMYFUNCTION("""COMPUTED_VALUE"""),8)</f>
        <v>8</v>
      </c>
      <c r="D2186" s="189" t="str">
        <f ca="1">IFERROR(__xludf.DUMMYFUNCTION("""COMPUTED_VALUE"""),"B")</f>
        <v>B</v>
      </c>
      <c r="E2186" s="189" t="str">
        <f ca="1">IFERROR(__xludf.DUMMYFUNCTION("""COMPUTED_VALUE"""),"F")</f>
        <v>F</v>
      </c>
      <c r="F2186" s="189" t="str">
        <f ca="1">IFERROR(__xludf.DUMMYFUNCTION("""COMPUTED_VALUE"""),"J")</f>
        <v>J</v>
      </c>
      <c r="G2186" s="189">
        <f ca="1">IFERROR(__xludf.DUMMYFUNCTION("""COMPUTED_VALUE"""),3)</f>
        <v>3</v>
      </c>
      <c r="H2186" s="196" t="s">
        <v>847</v>
      </c>
      <c r="I2186" s="196"/>
      <c r="J2186" s="196" t="s">
        <v>29</v>
      </c>
      <c r="K2186" s="196"/>
      <c r="L2186" s="196" t="str">
        <v xml:space="preserve"> 35.95</v>
      </c>
      <c r="M2186" s="196"/>
    </row>
    <row r="2187" spans="1:13" ht="14.4" x14ac:dyDescent="0.3">
      <c r="A2187" s="189" t="str">
        <f ca="1">IFERROR(__xludf.DUMMYFUNCTION("""COMPUTED_VALUE"""),"WG")</f>
        <v>WG</v>
      </c>
      <c r="B2187" s="197" t="str">
        <f ca="1">IFERROR(__xludf.DUMMYFUNCTION("""COMPUTED_VALUE"""),"Max Pera")</f>
        <v>Max Pera</v>
      </c>
      <c r="C2187" s="189">
        <f ca="1">IFERROR(__xludf.DUMMYFUNCTION("""COMPUTED_VALUE"""),9)</f>
        <v>9</v>
      </c>
      <c r="D2187" s="189" t="str">
        <f ca="1">IFERROR(__xludf.DUMMYFUNCTION("""COMPUTED_VALUE"""),"B")</f>
        <v>B</v>
      </c>
      <c r="E2187" s="189" t="str">
        <f ca="1">IFERROR(__xludf.DUMMYFUNCTION("""COMPUTED_VALUE"""),"F")</f>
        <v>F</v>
      </c>
      <c r="F2187" s="189" t="str">
        <f ca="1">IFERROR(__xludf.DUMMYFUNCTION("""COMPUTED_VALUE"""),"J")</f>
        <v>J</v>
      </c>
      <c r="G2187" s="189">
        <f ca="1">IFERROR(__xludf.DUMMYFUNCTION("""COMPUTED_VALUE"""),3)</f>
        <v>3</v>
      </c>
      <c r="H2187" s="196"/>
      <c r="I2187" s="196"/>
      <c r="J2187" s="196"/>
      <c r="K2187" s="196"/>
      <c r="L2187" s="196" t="str">
        <v/>
      </c>
      <c r="M2187" s="196"/>
    </row>
    <row r="2188" spans="1:13" ht="14.4" x14ac:dyDescent="0.3">
      <c r="A2188" s="189" t="str">
        <f ca="1">IFERROR(__xludf.DUMMYFUNCTION("""COMPUTED_VALUE"""),"WG")</f>
        <v>WG</v>
      </c>
      <c r="B2188" s="197" t="str">
        <f ca="1">IFERROR(__xludf.DUMMYFUNCTION("""COMPUTED_VALUE"""),"Stellan Stoltz")</f>
        <v>Stellan Stoltz</v>
      </c>
      <c r="C2188" s="189">
        <f ca="1">IFERROR(__xludf.DUMMYFUNCTION("""COMPUTED_VALUE"""),8)</f>
        <v>8</v>
      </c>
      <c r="D2188" s="189" t="str">
        <f ca="1">IFERROR(__xludf.DUMMYFUNCTION("""COMPUTED_VALUE"""),"B")</f>
        <v>B</v>
      </c>
      <c r="E2188" s="189" t="str">
        <f ca="1">IFERROR(__xludf.DUMMYFUNCTION("""COMPUTED_VALUE"""),"F")</f>
        <v>F</v>
      </c>
      <c r="F2188" s="189" t="str">
        <f ca="1">IFERROR(__xludf.DUMMYFUNCTION("""COMPUTED_VALUE"""),"J")</f>
        <v>J</v>
      </c>
      <c r="G2188" s="189">
        <f ca="1">IFERROR(__xludf.DUMMYFUNCTION("""COMPUTED_VALUE"""),3)</f>
        <v>3</v>
      </c>
      <c r="H2188" s="196"/>
      <c r="I2188" s="196"/>
      <c r="J2188" s="196"/>
      <c r="K2188" s="196"/>
      <c r="L2188" s="196" t="str">
        <v/>
      </c>
      <c r="M2188" s="196"/>
    </row>
    <row r="2189" spans="1:13" ht="14.4" x14ac:dyDescent="0.3">
      <c r="A2189" s="189" t="str">
        <f ca="1">IFERROR(__xludf.DUMMYFUNCTION("""COMPUTED_VALUE"""),"WG")</f>
        <v>WG</v>
      </c>
      <c r="B2189" s="197" t="str">
        <f ca="1">IFERROR(__xludf.DUMMYFUNCTION("""COMPUTED_VALUE"""),"Ansley Cameron")</f>
        <v>Ansley Cameron</v>
      </c>
      <c r="C2189" s="189">
        <f ca="1">IFERROR(__xludf.DUMMYFUNCTION("""COMPUTED_VALUE"""),13)</f>
        <v>13</v>
      </c>
      <c r="D2189" s="189" t="str">
        <f ca="1">IFERROR(__xludf.DUMMYFUNCTION("""COMPUTED_VALUE"""),"G")</f>
        <v>G</v>
      </c>
      <c r="E2189" s="189" t="str">
        <f ca="1">IFERROR(__xludf.DUMMYFUNCTION("""COMPUTED_VALUE"""),"I")</f>
        <v>I</v>
      </c>
      <c r="F2189" s="189" t="str">
        <f ca="1">IFERROR(__xludf.DUMMYFUNCTION("""COMPUTED_VALUE"""),"S")</f>
        <v>S</v>
      </c>
      <c r="G2189" s="189">
        <f ca="1">IFERROR(__xludf.DUMMYFUNCTION("""COMPUTED_VALUE"""),3)</f>
        <v>3</v>
      </c>
      <c r="H2189" s="196"/>
      <c r="I2189" s="196"/>
      <c r="J2189" s="196"/>
      <c r="K2189" s="196"/>
      <c r="L2189" s="196" t="str">
        <v/>
      </c>
      <c r="M2189" s="196"/>
    </row>
    <row r="2190" spans="1:13" ht="14.4" x14ac:dyDescent="0.3">
      <c r="A2190" s="189" t="str">
        <f ca="1">IFERROR(__xludf.DUMMYFUNCTION("""COMPUTED_VALUE"""),"WG")</f>
        <v>WG</v>
      </c>
      <c r="B2190" s="197" t="str">
        <f ca="1">IFERROR(__xludf.DUMMYFUNCTION("""COMPUTED_VALUE"""),"Mya Merkel")</f>
        <v>Mya Merkel</v>
      </c>
      <c r="C2190" s="189">
        <f ca="1">IFERROR(__xludf.DUMMYFUNCTION("""COMPUTED_VALUE"""),14)</f>
        <v>14</v>
      </c>
      <c r="D2190" s="189" t="str">
        <f ca="1">IFERROR(__xludf.DUMMYFUNCTION("""COMPUTED_VALUE"""),"G")</f>
        <v>G</v>
      </c>
      <c r="E2190" s="189" t="str">
        <f ca="1">IFERROR(__xludf.DUMMYFUNCTION("""COMPUTED_VALUE"""),"I")</f>
        <v>I</v>
      </c>
      <c r="F2190" s="189" t="str">
        <f ca="1">IFERROR(__xludf.DUMMYFUNCTION("""COMPUTED_VALUE"""),"S")</f>
        <v>S</v>
      </c>
      <c r="G2190" s="189">
        <f ca="1">IFERROR(__xludf.DUMMYFUNCTION("""COMPUTED_VALUE"""),3)</f>
        <v>3</v>
      </c>
      <c r="H2190" s="196"/>
      <c r="I2190" s="196"/>
      <c r="J2190" s="196"/>
      <c r="K2190" s="196"/>
      <c r="L2190" s="196" t="str">
        <v/>
      </c>
      <c r="M2190" s="196"/>
    </row>
    <row r="2191" spans="1:13" ht="14.4" x14ac:dyDescent="0.3">
      <c r="A2191" s="189" t="str">
        <f ca="1">IFERROR(__xludf.DUMMYFUNCTION("""COMPUTED_VALUE"""),"WG")</f>
        <v>WG</v>
      </c>
      <c r="B2191" s="197" t="str">
        <f ca="1">IFERROR(__xludf.DUMMYFUNCTION("""COMPUTED_VALUE"""),"Asher Lanthier")</f>
        <v>Asher Lanthier</v>
      </c>
      <c r="C2191" s="189">
        <f ca="1">IFERROR(__xludf.DUMMYFUNCTION("""COMPUTED_VALUE"""),14)</f>
        <v>14</v>
      </c>
      <c r="D2191" s="189" t="str">
        <f ca="1">IFERROR(__xludf.DUMMYFUNCTION("""COMPUTED_VALUE"""),"B")</f>
        <v>B</v>
      </c>
      <c r="E2191" s="189" t="str">
        <f ca="1">IFERROR(__xludf.DUMMYFUNCTION("""COMPUTED_VALUE"""),"I")</f>
        <v>I</v>
      </c>
      <c r="F2191" s="189" t="str">
        <f ca="1">IFERROR(__xludf.DUMMYFUNCTION("""COMPUTED_VALUE"""),"S")</f>
        <v>S</v>
      </c>
      <c r="G2191" s="189">
        <f ca="1">IFERROR(__xludf.DUMMYFUNCTION("""COMPUTED_VALUE"""),3)</f>
        <v>3</v>
      </c>
      <c r="H2191" s="196" t="s">
        <v>848</v>
      </c>
      <c r="I2191" s="196"/>
      <c r="J2191" s="196" t="s">
        <v>29</v>
      </c>
      <c r="K2191" s="196"/>
      <c r="L2191" s="196" t="str">
        <v xml:space="preserve"> 110.90</v>
      </c>
      <c r="M2191" s="196"/>
    </row>
    <row r="2192" spans="1:13" ht="14.4" x14ac:dyDescent="0.3">
      <c r="A2192" s="189" t="str">
        <f ca="1">IFERROR(__xludf.DUMMYFUNCTION("""COMPUTED_VALUE"""),"WG")</f>
        <v>WG</v>
      </c>
      <c r="B2192" s="197" t="str">
        <f ca="1">IFERROR(__xludf.DUMMYFUNCTION("""COMPUTED_VALUE"""),"Jonah Lanthier")</f>
        <v>Jonah Lanthier</v>
      </c>
      <c r="C2192" s="189">
        <f ca="1">IFERROR(__xludf.DUMMYFUNCTION("""COMPUTED_VALUE"""),13)</f>
        <v>13</v>
      </c>
      <c r="D2192" s="189" t="str">
        <f ca="1">IFERROR(__xludf.DUMMYFUNCTION("""COMPUTED_VALUE"""),"B")</f>
        <v>B</v>
      </c>
      <c r="E2192" s="189" t="str">
        <f ca="1">IFERROR(__xludf.DUMMYFUNCTION("""COMPUTED_VALUE"""),"I")</f>
        <v>I</v>
      </c>
      <c r="F2192" s="189" t="str">
        <f ca="1">IFERROR(__xludf.DUMMYFUNCTION("""COMPUTED_VALUE"""),"S")</f>
        <v>S</v>
      </c>
      <c r="G2192" s="189">
        <f ca="1">IFERROR(__xludf.DUMMYFUNCTION("""COMPUTED_VALUE"""),3)</f>
        <v>3</v>
      </c>
      <c r="H2192" s="196" t="s">
        <v>239</v>
      </c>
      <c r="I2192" s="196"/>
      <c r="J2192" s="196" t="s">
        <v>29</v>
      </c>
      <c r="K2192" s="196"/>
      <c r="L2192" s="196" t="str">
        <v xml:space="preserve"> 122.15</v>
      </c>
      <c r="M2192" s="196"/>
    </row>
    <row r="2193" spans="1:13" ht="14.4" x14ac:dyDescent="0.3">
      <c r="A2193" s="189" t="str">
        <f ca="1">IFERROR(__xludf.DUMMYFUNCTION("""COMPUTED_VALUE"""),"WG")</f>
        <v>WG</v>
      </c>
      <c r="B2193" s="197" t="str">
        <f ca="1">IFERROR(__xludf.DUMMYFUNCTION("""COMPUTED_VALUE"""),"Elin Geraghty")</f>
        <v>Elin Geraghty</v>
      </c>
      <c r="C2193" s="189">
        <f ca="1">IFERROR(__xludf.DUMMYFUNCTION("""COMPUTED_VALUE"""),12)</f>
        <v>12</v>
      </c>
      <c r="D2193" s="189" t="str">
        <f ca="1">IFERROR(__xludf.DUMMYFUNCTION("""COMPUTED_VALUE"""),"G")</f>
        <v>G</v>
      </c>
      <c r="E2193" s="189" t="str">
        <f ca="1">IFERROR(__xludf.DUMMYFUNCTION("""COMPUTED_VALUE"""),"J")</f>
        <v>J</v>
      </c>
      <c r="F2193" s="189" t="str">
        <f ca="1">IFERROR(__xludf.DUMMYFUNCTION("""COMPUTED_VALUE"""),"I")</f>
        <v>I</v>
      </c>
      <c r="G2193" s="189">
        <f ca="1">IFERROR(__xludf.DUMMYFUNCTION("""COMPUTED_VALUE"""),3)</f>
        <v>3</v>
      </c>
      <c r="H2193" s="196" t="s">
        <v>849</v>
      </c>
      <c r="I2193" s="196"/>
      <c r="J2193" s="196" t="s">
        <v>64</v>
      </c>
      <c r="K2193" s="196"/>
      <c r="L2193" s="196" t="str">
        <v xml:space="preserve"> -115.65</v>
      </c>
      <c r="M2193" s="196"/>
    </row>
    <row r="2194" spans="1:13" ht="14.4" x14ac:dyDescent="0.3">
      <c r="A2194" s="189" t="str">
        <f ca="1">IFERROR(__xludf.DUMMYFUNCTION("""COMPUTED_VALUE"""),"WG")</f>
        <v>WG</v>
      </c>
      <c r="B2194" s="197" t="str">
        <f ca="1">IFERROR(__xludf.DUMMYFUNCTION("""COMPUTED_VALUE"""),"Ramona Greeney")</f>
        <v>Ramona Greeney</v>
      </c>
      <c r="C2194" s="189">
        <f ca="1">IFERROR(__xludf.DUMMYFUNCTION("""COMPUTED_VALUE"""),11)</f>
        <v>11</v>
      </c>
      <c r="D2194" s="189" t="str">
        <f ca="1">IFERROR(__xludf.DUMMYFUNCTION("""COMPUTED_VALUE"""),"G")</f>
        <v>G</v>
      </c>
      <c r="E2194" s="189" t="str">
        <f ca="1">IFERROR(__xludf.DUMMYFUNCTION("""COMPUTED_VALUE"""),"J")</f>
        <v>J</v>
      </c>
      <c r="F2194" s="189" t="str">
        <f ca="1">IFERROR(__xludf.DUMMYFUNCTION("""COMPUTED_VALUE"""),"I")</f>
        <v>I</v>
      </c>
      <c r="G2194" s="189">
        <f ca="1">IFERROR(__xludf.DUMMYFUNCTION("""COMPUTED_VALUE"""),3)</f>
        <v>3</v>
      </c>
      <c r="H2194" s="196" t="s">
        <v>437</v>
      </c>
      <c r="I2194" s="196"/>
      <c r="J2194" s="196" t="s">
        <v>29</v>
      </c>
      <c r="K2194" s="196"/>
      <c r="L2194" s="196" t="str">
        <v xml:space="preserve"> 85.45</v>
      </c>
      <c r="M2194" s="196"/>
    </row>
    <row r="2195" spans="1:13" ht="14.4" x14ac:dyDescent="0.3">
      <c r="A2195" s="189" t="str">
        <f ca="1">IFERROR(__xludf.DUMMYFUNCTION("""COMPUTED_VALUE"""),"WG")</f>
        <v>WG</v>
      </c>
      <c r="B2195" s="197" t="str">
        <f ca="1">IFERROR(__xludf.DUMMYFUNCTION("""COMPUTED_VALUE"""),"Asher Cameron")</f>
        <v>Asher Cameron</v>
      </c>
      <c r="C2195" s="189">
        <f ca="1">IFERROR(__xludf.DUMMYFUNCTION("""COMPUTED_VALUE"""),11)</f>
        <v>11</v>
      </c>
      <c r="D2195" s="189" t="str">
        <f ca="1">IFERROR(__xludf.DUMMYFUNCTION("""COMPUTED_VALUE"""),"B")</f>
        <v>B</v>
      </c>
      <c r="E2195" s="189" t="str">
        <f ca="1">IFERROR(__xludf.DUMMYFUNCTION("""COMPUTED_VALUE"""),"J")</f>
        <v>J</v>
      </c>
      <c r="F2195" s="189" t="str">
        <f ca="1">IFERROR(__xludf.DUMMYFUNCTION("""COMPUTED_VALUE"""),"I")</f>
        <v>I</v>
      </c>
      <c r="G2195" s="189">
        <f ca="1">IFERROR(__xludf.DUMMYFUNCTION("""COMPUTED_VALUE"""),3)</f>
        <v>3</v>
      </c>
      <c r="H2195" s="196"/>
      <c r="I2195" s="196"/>
      <c r="J2195" s="196"/>
      <c r="K2195" s="196"/>
      <c r="L2195" s="196" t="str">
        <v/>
      </c>
      <c r="M2195" s="196"/>
    </row>
    <row r="2196" spans="1:13" ht="14.4" x14ac:dyDescent="0.3">
      <c r="A2196" s="189" t="str">
        <f ca="1">IFERROR(__xludf.DUMMYFUNCTION("""COMPUTED_VALUE"""),"WG")</f>
        <v>WG</v>
      </c>
      <c r="B2196" s="197" t="str">
        <f ca="1">IFERROR(__xludf.DUMMYFUNCTION("""COMPUTED_VALUE"""),"Judah Stoltz")</f>
        <v>Judah Stoltz</v>
      </c>
      <c r="C2196" s="189">
        <f ca="1">IFERROR(__xludf.DUMMYFUNCTION("""COMPUTED_VALUE"""),11)</f>
        <v>11</v>
      </c>
      <c r="D2196" s="189" t="str">
        <f ca="1">IFERROR(__xludf.DUMMYFUNCTION("""COMPUTED_VALUE"""),"B")</f>
        <v>B</v>
      </c>
      <c r="E2196" s="189" t="str">
        <f ca="1">IFERROR(__xludf.DUMMYFUNCTION("""COMPUTED_VALUE"""),"J")</f>
        <v>J</v>
      </c>
      <c r="F2196" s="189" t="str">
        <f ca="1">IFERROR(__xludf.DUMMYFUNCTION("""COMPUTED_VALUE"""),"I")</f>
        <v>I</v>
      </c>
      <c r="G2196" s="189">
        <f ca="1">IFERROR(__xludf.DUMMYFUNCTION("""COMPUTED_VALUE"""),3)</f>
        <v>3</v>
      </c>
      <c r="H2196" s="196"/>
      <c r="I2196" s="196"/>
      <c r="J2196" s="196"/>
      <c r="K2196" s="196"/>
      <c r="L2196" s="196" t="str">
        <v/>
      </c>
      <c r="M2196" s="196"/>
    </row>
    <row r="2197" spans="1:13" ht="14.4" x14ac:dyDescent="0.3">
      <c r="A2197" s="189" t="str">
        <f ca="1">IFERROR(__xludf.DUMMYFUNCTION("""COMPUTED_VALUE"""),"WG")</f>
        <v>WG</v>
      </c>
      <c r="B2197" s="197" t="str">
        <f ca="1">IFERROR(__xludf.DUMMYFUNCTION("""COMPUTED_VALUE"""),"Bryn Cameron")</f>
        <v>Bryn Cameron</v>
      </c>
      <c r="C2197" s="189">
        <f ca="1">IFERROR(__xludf.DUMMYFUNCTION("""COMPUTED_VALUE"""),16)</f>
        <v>16</v>
      </c>
      <c r="D2197" s="189" t="str">
        <f ca="1">IFERROR(__xludf.DUMMYFUNCTION("""COMPUTED_VALUE"""),"G")</f>
        <v>G</v>
      </c>
      <c r="E2197" s="189" t="str">
        <f ca="1">IFERROR(__xludf.DUMMYFUNCTION("""COMPUTED_VALUE"""),"S")</f>
        <v>S</v>
      </c>
      <c r="F2197" s="189" t="str">
        <f ca="1">IFERROR(__xludf.DUMMYFUNCTION("""COMPUTED_VALUE"""),"S")</f>
        <v>S</v>
      </c>
      <c r="G2197" s="189">
        <f ca="1">IFERROR(__xludf.DUMMYFUNCTION("""COMPUTED_VALUE"""),3)</f>
        <v>3</v>
      </c>
      <c r="H2197" s="196"/>
      <c r="I2197" s="196"/>
      <c r="J2197" s="196"/>
      <c r="K2197" s="196"/>
      <c r="L2197" s="196" t="str">
        <v/>
      </c>
      <c r="M2197" s="196"/>
    </row>
    <row r="2198" spans="1:13" ht="14.4" x14ac:dyDescent="0.3">
      <c r="A2198" s="189" t="str">
        <f ca="1">IFERROR(__xludf.DUMMYFUNCTION("""COMPUTED_VALUE"""),"WG")</f>
        <v>WG</v>
      </c>
      <c r="B2198" s="197" t="str">
        <f ca="1">IFERROR(__xludf.DUMMYFUNCTION("""COMPUTED_VALUE"""),"Charlotte Petrick")</f>
        <v>Charlotte Petrick</v>
      </c>
      <c r="C2198" s="189">
        <f ca="1">IFERROR(__xludf.DUMMYFUNCTION("""COMPUTED_VALUE"""),16)</f>
        <v>16</v>
      </c>
      <c r="D2198" s="189" t="str">
        <f ca="1">IFERROR(__xludf.DUMMYFUNCTION("""COMPUTED_VALUE"""),"G")</f>
        <v>G</v>
      </c>
      <c r="E2198" s="189" t="str">
        <f ca="1">IFERROR(__xludf.DUMMYFUNCTION("""COMPUTED_VALUE"""),"S")</f>
        <v>S</v>
      </c>
      <c r="F2198" s="189" t="str">
        <f ca="1">IFERROR(__xludf.DUMMYFUNCTION("""COMPUTED_VALUE"""),"S")</f>
        <v>S</v>
      </c>
      <c r="G2198" s="189">
        <f ca="1">IFERROR(__xludf.DUMMYFUNCTION("""COMPUTED_VALUE"""),3)</f>
        <v>3</v>
      </c>
      <c r="H2198" s="196" t="s">
        <v>850</v>
      </c>
      <c r="I2198" s="196"/>
      <c r="J2198" s="196" t="s">
        <v>29</v>
      </c>
      <c r="K2198" s="196"/>
      <c r="L2198" s="196" t="str">
        <v xml:space="preserve"> 151.95</v>
      </c>
      <c r="M2198" s="196"/>
    </row>
    <row r="2199" spans="1:13" ht="14.4" x14ac:dyDescent="0.3">
      <c r="A2199" s="189" t="str">
        <f ca="1">IFERROR(__xludf.DUMMYFUNCTION("""COMPUTED_VALUE"""),"WG")</f>
        <v>WG</v>
      </c>
      <c r="B2199" s="197" t="str">
        <f ca="1">IFERROR(__xludf.DUMMYFUNCTION("""COMPUTED_VALUE"""),"Jessica Buechler")</f>
        <v>Jessica Buechler</v>
      </c>
      <c r="C2199" s="189">
        <f ca="1">IFERROR(__xludf.DUMMYFUNCTION("""COMPUTED_VALUE"""),15)</f>
        <v>15</v>
      </c>
      <c r="D2199" s="189" t="str">
        <f ca="1">IFERROR(__xludf.DUMMYFUNCTION("""COMPUTED_VALUE"""),"G")</f>
        <v>G</v>
      </c>
      <c r="E2199" s="189" t="str">
        <f ca="1">IFERROR(__xludf.DUMMYFUNCTION("""COMPUTED_VALUE"""),"S")</f>
        <v>S</v>
      </c>
      <c r="F2199" s="189" t="str">
        <f ca="1">IFERROR(__xludf.DUMMYFUNCTION("""COMPUTED_VALUE"""),"S")</f>
        <v>S</v>
      </c>
      <c r="G2199" s="189">
        <f ca="1">IFERROR(__xludf.DUMMYFUNCTION("""COMPUTED_VALUE"""),3)</f>
        <v>3</v>
      </c>
      <c r="H2199" s="196" t="s">
        <v>851</v>
      </c>
      <c r="I2199" s="196"/>
      <c r="J2199" s="196" t="s">
        <v>29</v>
      </c>
      <c r="K2199" s="196"/>
      <c r="L2199" s="196" t="str">
        <v xml:space="preserve"> 167.15</v>
      </c>
      <c r="M2199" s="196"/>
    </row>
    <row r="2200" spans="1:13" ht="14.4" x14ac:dyDescent="0.3">
      <c r="A2200" s="189" t="str">
        <f ca="1">IFERROR(__xludf.DUMMYFUNCTION("""COMPUTED_VALUE"""),"WG")</f>
        <v>WG</v>
      </c>
      <c r="B2200" s="197" t="str">
        <f ca="1">IFERROR(__xludf.DUMMYFUNCTION("""COMPUTED_VALUE"""),"Mirabella Lanthier")</f>
        <v>Mirabella Lanthier</v>
      </c>
      <c r="C2200" s="189">
        <f ca="1">IFERROR(__xludf.DUMMYFUNCTION("""COMPUTED_VALUE"""),16)</f>
        <v>16</v>
      </c>
      <c r="D2200" s="189" t="str">
        <f ca="1">IFERROR(__xludf.DUMMYFUNCTION("""COMPUTED_VALUE"""),"G")</f>
        <v>G</v>
      </c>
      <c r="E2200" s="189" t="str">
        <f ca="1">IFERROR(__xludf.DUMMYFUNCTION("""COMPUTED_VALUE"""),"S")</f>
        <v>S</v>
      </c>
      <c r="F2200" s="189" t="str">
        <f ca="1">IFERROR(__xludf.DUMMYFUNCTION("""COMPUTED_VALUE"""),"S")</f>
        <v>S</v>
      </c>
      <c r="G2200" s="189">
        <f ca="1">IFERROR(__xludf.DUMMYFUNCTION("""COMPUTED_VALUE"""),3)</f>
        <v>3</v>
      </c>
      <c r="H2200" s="196" t="s">
        <v>852</v>
      </c>
      <c r="I2200" s="196"/>
      <c r="J2200" s="196" t="s">
        <v>29</v>
      </c>
      <c r="K2200" s="196"/>
      <c r="L2200" s="196" t="str">
        <v xml:space="preserve"> 129.25</v>
      </c>
      <c r="M2200" s="196"/>
    </row>
    <row r="2201" spans="1:13" ht="14.4" x14ac:dyDescent="0.3">
      <c r="A2201" s="189" t="str">
        <f ca="1">IFERROR(__xludf.DUMMYFUNCTION("""COMPUTED_VALUE"""),"WG")</f>
        <v>WG</v>
      </c>
      <c r="B2201" s="197" t="str">
        <f ca="1">IFERROR(__xludf.DUMMYFUNCTION("""COMPUTED_VALUE"""),"Sophia Gettty")</f>
        <v>Sophia Gettty</v>
      </c>
      <c r="C2201" s="189">
        <f ca="1">IFERROR(__xludf.DUMMYFUNCTION("""COMPUTED_VALUE"""),18)</f>
        <v>18</v>
      </c>
      <c r="D2201" s="189" t="str">
        <f ca="1">IFERROR(__xludf.DUMMYFUNCTION("""COMPUTED_VALUE"""),"G")</f>
        <v>G</v>
      </c>
      <c r="E2201" s="189" t="str">
        <f ca="1">IFERROR(__xludf.DUMMYFUNCTION("""COMPUTED_VALUE"""),"S")</f>
        <v>S</v>
      </c>
      <c r="F2201" s="189" t="str">
        <f ca="1">IFERROR(__xludf.DUMMYFUNCTION("""COMPUTED_VALUE"""),"S")</f>
        <v>S</v>
      </c>
      <c r="G2201" s="189">
        <f ca="1">IFERROR(__xludf.DUMMYFUNCTION("""COMPUTED_VALUE"""),3)</f>
        <v>3</v>
      </c>
      <c r="H2201" s="196" t="s">
        <v>853</v>
      </c>
      <c r="I2201" s="196"/>
      <c r="J2201" s="196" t="s">
        <v>29</v>
      </c>
      <c r="K2201" s="196"/>
      <c r="L2201" s="196" t="str">
        <v xml:space="preserve"> 113.85</v>
      </c>
      <c r="M2201" s="196"/>
    </row>
    <row r="2202" spans="1:13" ht="14.4" x14ac:dyDescent="0.3">
      <c r="A2202" s="189" t="str">
        <f ca="1">IFERROR(__xludf.DUMMYFUNCTION("""COMPUTED_VALUE"""),"WG")</f>
        <v>WG</v>
      </c>
      <c r="B2202" s="197" t="str">
        <f ca="1">IFERROR(__xludf.DUMMYFUNCTION("""COMPUTED_VALUE"""),"Aidan McGarry")</f>
        <v>Aidan McGarry</v>
      </c>
      <c r="C2202" s="189">
        <f ca="1">IFERROR(__xludf.DUMMYFUNCTION("""COMPUTED_VALUE"""),18)</f>
        <v>18</v>
      </c>
      <c r="D2202" s="189" t="str">
        <f ca="1">IFERROR(__xludf.DUMMYFUNCTION("""COMPUTED_VALUE"""),"B")</f>
        <v>B</v>
      </c>
      <c r="E2202" s="189" t="str">
        <f ca="1">IFERROR(__xludf.DUMMYFUNCTION("""COMPUTED_VALUE"""),"S")</f>
        <v>S</v>
      </c>
      <c r="F2202" s="189" t="str">
        <f ca="1">IFERROR(__xludf.DUMMYFUNCTION("""COMPUTED_VALUE"""),"S")</f>
        <v>S</v>
      </c>
      <c r="G2202" s="189">
        <f ca="1">IFERROR(__xludf.DUMMYFUNCTION("""COMPUTED_VALUE"""),3)</f>
        <v>3</v>
      </c>
      <c r="H2202" s="196"/>
      <c r="I2202" s="196"/>
      <c r="J2202" s="196"/>
      <c r="K2202" s="196"/>
      <c r="L2202" s="196" t="str">
        <v/>
      </c>
      <c r="M2202" s="196"/>
    </row>
    <row r="2203" spans="1:13" ht="14.4" x14ac:dyDescent="0.3">
      <c r="A2203" s="189" t="str">
        <f ca="1">IFERROR(__xludf.DUMMYFUNCTION("""COMPUTED_VALUE"""),"WG")</f>
        <v>WG</v>
      </c>
      <c r="B2203" s="197" t="str">
        <f ca="1">IFERROR(__xludf.DUMMYFUNCTION("""COMPUTED_VALUE"""),"Aidan Smith")</f>
        <v>Aidan Smith</v>
      </c>
      <c r="C2203" s="189">
        <f ca="1">IFERROR(__xludf.DUMMYFUNCTION("""COMPUTED_VALUE"""),18)</f>
        <v>18</v>
      </c>
      <c r="D2203" s="189" t="str">
        <f ca="1">IFERROR(__xludf.DUMMYFUNCTION("""COMPUTED_VALUE"""),"B")</f>
        <v>B</v>
      </c>
      <c r="E2203" s="189" t="str">
        <f ca="1">IFERROR(__xludf.DUMMYFUNCTION("""COMPUTED_VALUE"""),"S")</f>
        <v>S</v>
      </c>
      <c r="F2203" s="189" t="str">
        <f ca="1">IFERROR(__xludf.DUMMYFUNCTION("""COMPUTED_VALUE"""),"S")</f>
        <v>S</v>
      </c>
      <c r="G2203" s="189">
        <f ca="1">IFERROR(__xludf.DUMMYFUNCTION("""COMPUTED_VALUE"""),3)</f>
        <v>3</v>
      </c>
      <c r="H2203" s="196" t="s">
        <v>854</v>
      </c>
      <c r="I2203" s="196"/>
      <c r="J2203" s="196" t="s">
        <v>29</v>
      </c>
      <c r="K2203" s="196"/>
      <c r="L2203" s="196" t="str">
        <v xml:space="preserve"> 161.50</v>
      </c>
      <c r="M2203" s="196"/>
    </row>
    <row r="2204" spans="1:13" ht="14.4" x14ac:dyDescent="0.3">
      <c r="A2204" s="189" t="str">
        <f ca="1">IFERROR(__xludf.DUMMYFUNCTION("""COMPUTED_VALUE"""),"WG")</f>
        <v>WG</v>
      </c>
      <c r="B2204" s="197" t="str">
        <f ca="1">IFERROR(__xludf.DUMMYFUNCTION("""COMPUTED_VALUE"""),"Jaden Buecher")</f>
        <v>Jaden Buecher</v>
      </c>
      <c r="C2204" s="189">
        <f ca="1">IFERROR(__xludf.DUMMYFUNCTION("""COMPUTED_VALUE"""),17)</f>
        <v>17</v>
      </c>
      <c r="D2204" s="189" t="str">
        <f ca="1">IFERROR(__xludf.DUMMYFUNCTION("""COMPUTED_VALUE"""),"B")</f>
        <v>B</v>
      </c>
      <c r="E2204" s="189" t="str">
        <f ca="1">IFERROR(__xludf.DUMMYFUNCTION("""COMPUTED_VALUE"""),"S")</f>
        <v>S</v>
      </c>
      <c r="F2204" s="189" t="str">
        <f ca="1">IFERROR(__xludf.DUMMYFUNCTION("""COMPUTED_VALUE"""),"S")</f>
        <v>S</v>
      </c>
      <c r="G2204" s="189">
        <f ca="1">IFERROR(__xludf.DUMMYFUNCTION("""COMPUTED_VALUE"""),3)</f>
        <v>3</v>
      </c>
      <c r="H2204" s="196" t="s">
        <v>855</v>
      </c>
      <c r="I2204" s="196"/>
      <c r="J2204" s="196" t="s">
        <v>29</v>
      </c>
      <c r="K2204" s="196"/>
      <c r="L2204" s="196" t="str">
        <v xml:space="preserve"> 176.95</v>
      </c>
      <c r="M2204" s="196"/>
    </row>
    <row r="2205" spans="1:13" ht="14.4" x14ac:dyDescent="0.3">
      <c r="A2205" s="189" t="str">
        <f ca="1">IFERROR(__xludf.DUMMYFUNCTION("""COMPUTED_VALUE"""),"WG")</f>
        <v>WG</v>
      </c>
      <c r="B2205" s="197" t="str">
        <f ca="1">IFERROR(__xludf.DUMMYFUNCTION("""COMPUTED_VALUE"""),"Joe Clardy")</f>
        <v>Joe Clardy</v>
      </c>
      <c r="C2205" s="189">
        <f ca="1">IFERROR(__xludf.DUMMYFUNCTION("""COMPUTED_VALUE"""),17)</f>
        <v>17</v>
      </c>
      <c r="D2205" s="189" t="str">
        <f ca="1">IFERROR(__xludf.DUMMYFUNCTION("""COMPUTED_VALUE"""),"B")</f>
        <v>B</v>
      </c>
      <c r="E2205" s="189" t="str">
        <f ca="1">IFERROR(__xludf.DUMMYFUNCTION("""COMPUTED_VALUE"""),"S")</f>
        <v>S</v>
      </c>
      <c r="F2205" s="189" t="str">
        <f ca="1">IFERROR(__xludf.DUMMYFUNCTION("""COMPUTED_VALUE"""),"S")</f>
        <v>S</v>
      </c>
      <c r="G2205" s="189">
        <f ca="1">IFERROR(__xludf.DUMMYFUNCTION("""COMPUTED_VALUE"""),3)</f>
        <v>3</v>
      </c>
      <c r="H2205" s="196" t="s">
        <v>856</v>
      </c>
      <c r="I2205" s="196"/>
      <c r="J2205" s="196" t="s">
        <v>29</v>
      </c>
      <c r="K2205" s="196"/>
      <c r="L2205" s="196" t="str">
        <v xml:space="preserve"> 106.75</v>
      </c>
      <c r="M2205" s="196"/>
    </row>
    <row r="2206" spans="1:13" ht="14.4" x14ac:dyDescent="0.3">
      <c r="A2206" s="189" t="str">
        <f ca="1">IFERROR(__xludf.DUMMYFUNCTION("""COMPUTED_VALUE"""),"WG")</f>
        <v>WG</v>
      </c>
      <c r="B2206" s="197" t="str">
        <f ca="1">IFERROR(__xludf.DUMMYFUNCTION("""COMPUTED_VALUE"""),"Noah Pera")</f>
        <v>Noah Pera</v>
      </c>
      <c r="C2206" s="189">
        <f ca="1">IFERROR(__xludf.DUMMYFUNCTION("""COMPUTED_VALUE"""),15)</f>
        <v>15</v>
      </c>
      <c r="D2206" s="189" t="str">
        <f ca="1">IFERROR(__xludf.DUMMYFUNCTION("""COMPUTED_VALUE"""),"B")</f>
        <v>B</v>
      </c>
      <c r="E2206" s="189" t="str">
        <f ca="1">IFERROR(__xludf.DUMMYFUNCTION("""COMPUTED_VALUE"""),"S")</f>
        <v>S</v>
      </c>
      <c r="F2206" s="189" t="str">
        <f ca="1">IFERROR(__xludf.DUMMYFUNCTION("""COMPUTED_VALUE"""),"S")</f>
        <v>S</v>
      </c>
      <c r="G2206" s="189">
        <f ca="1">IFERROR(__xludf.DUMMYFUNCTION("""COMPUTED_VALUE"""),3)</f>
        <v>3</v>
      </c>
      <c r="H2206" s="196" t="s">
        <v>468</v>
      </c>
      <c r="I2206" s="196"/>
      <c r="J2206" s="196" t="s">
        <v>29</v>
      </c>
      <c r="K2206" s="196"/>
      <c r="L2206" s="196" t="str">
        <v xml:space="preserve"> 118.30</v>
      </c>
      <c r="M2206" s="196"/>
    </row>
    <row r="2207" spans="1:13" ht="14.4" x14ac:dyDescent="0.3">
      <c r="A2207" s="189" t="str">
        <f ca="1">IFERROR(__xludf.DUMMYFUNCTION("""COMPUTED_VALUE"""),"WG")</f>
        <v>WG</v>
      </c>
      <c r="B2207" s="197" t="str">
        <f ca="1">IFERROR(__xludf.DUMMYFUNCTION("""COMPUTED_VALUE"""),"Ramsay Latham")</f>
        <v>Ramsay Latham</v>
      </c>
      <c r="C2207" s="189">
        <f ca="1">IFERROR(__xludf.DUMMYFUNCTION("""COMPUTED_VALUE"""),15)</f>
        <v>15</v>
      </c>
      <c r="D2207" s="189" t="str">
        <f ca="1">IFERROR(__xludf.DUMMYFUNCTION("""COMPUTED_VALUE"""),"B")</f>
        <v>B</v>
      </c>
      <c r="E2207" s="189" t="str">
        <f ca="1">IFERROR(__xludf.DUMMYFUNCTION("""COMPUTED_VALUE"""),"S")</f>
        <v>S</v>
      </c>
      <c r="F2207" s="189" t="str">
        <f ca="1">IFERROR(__xludf.DUMMYFUNCTION("""COMPUTED_VALUE"""),"S")</f>
        <v>S</v>
      </c>
      <c r="G2207" s="189">
        <f ca="1">IFERROR(__xludf.DUMMYFUNCTION("""COMPUTED_VALUE"""),3)</f>
        <v>3</v>
      </c>
      <c r="H2207" s="196" t="s">
        <v>857</v>
      </c>
      <c r="I2207" s="196"/>
      <c r="J2207" s="196" t="s">
        <v>29</v>
      </c>
      <c r="K2207" s="196"/>
      <c r="L2207" s="196" t="str">
        <v xml:space="preserve"> 108.45</v>
      </c>
      <c r="M2207" s="196"/>
    </row>
    <row r="2208" spans="1:13" ht="14.4" x14ac:dyDescent="0.3">
      <c r="A2208" s="189" t="str">
        <f ca="1">IFERROR(__xludf.DUMMYFUNCTION("""COMPUTED_VALUE"""),"ZZ")</f>
        <v>ZZ</v>
      </c>
      <c r="B2208" s="197" t="str">
        <f ca="1">IFERROR(__xludf.DUMMYFUNCTION("""COMPUTED_VALUE"""),"***Late Roster Add After Opening CJ***")</f>
        <v>***Late Roster Add After Opening CJ***</v>
      </c>
      <c r="C2208" s="189" t="str">
        <f ca="1">IFERROR(__xludf.DUMMYFUNCTION("""COMPUTED_VALUE"""),"")</f>
        <v/>
      </c>
      <c r="D2208" s="189" t="str">
        <f ca="1">IFERROR(__xludf.DUMMYFUNCTION("""COMPUTED_VALUE"""),"")</f>
        <v/>
      </c>
      <c r="E2208" s="189"/>
      <c r="F2208" s="189" t="str">
        <f ca="1">IFERROR(__xludf.DUMMYFUNCTION("""COMPUTED_VALUE"""),"")</f>
        <v/>
      </c>
      <c r="G2208" s="189"/>
      <c r="H2208" s="196" t="s">
        <v>29</v>
      </c>
      <c r="I2208" s="196"/>
      <c r="J2208" s="196" t="s">
        <v>29</v>
      </c>
      <c r="K2208" s="196"/>
      <c r="L2208" s="196" t="str">
        <v/>
      </c>
      <c r="M2208" s="196"/>
    </row>
    <row r="2209" spans="1:13" ht="14.4" x14ac:dyDescent="0.3">
      <c r="A2209" s="189"/>
      <c r="B2209" s="197" t="str">
        <f ca="1">IFERROR(__xludf.DUMMYFUNCTION("""COMPUTED_VALUE"""),"")</f>
        <v/>
      </c>
      <c r="C2209" s="189" t="str">
        <f ca="1">IFERROR(__xludf.DUMMYFUNCTION("""COMPUTED_VALUE"""),"")</f>
        <v/>
      </c>
      <c r="D2209" s="189" t="str">
        <f ca="1">IFERROR(__xludf.DUMMYFUNCTION("""COMPUTED_VALUE"""),"")</f>
        <v/>
      </c>
      <c r="E2209" s="189" t="str">
        <f ca="1">IFERROR(__xludf.DUMMYFUNCTION("""COMPUTED_VALUE"""),"")</f>
        <v/>
      </c>
      <c r="F2209" s="189" t="str">
        <f ca="1">IFERROR(__xludf.DUMMYFUNCTION("""COMPUTED_VALUE"""),"")</f>
        <v/>
      </c>
      <c r="G2209" s="189" t="str">
        <f ca="1">IFERROR(__xludf.DUMMYFUNCTION("""COMPUTED_VALUE"""),"")</f>
        <v/>
      </c>
      <c r="H2209" s="196" t="s">
        <v>29</v>
      </c>
      <c r="I2209" s="196"/>
      <c r="J2209" s="196" t="s">
        <v>29</v>
      </c>
      <c r="K2209" s="196"/>
      <c r="L2209" s="196" t="str">
        <v/>
      </c>
      <c r="M2209" s="196"/>
    </row>
    <row r="2210" spans="1:13" ht="14.4" x14ac:dyDescent="0.3">
      <c r="A2210" s="189"/>
      <c r="B2210" s="197" t="str">
        <f ca="1">IFERROR(__xludf.DUMMYFUNCTION("""COMPUTED_VALUE"""),"")</f>
        <v/>
      </c>
      <c r="C2210" s="189" t="str">
        <f ca="1">IFERROR(__xludf.DUMMYFUNCTION("""COMPUTED_VALUE"""),"")</f>
        <v/>
      </c>
      <c r="D2210" s="189" t="str">
        <f ca="1">IFERROR(__xludf.DUMMYFUNCTION("""COMPUTED_VALUE"""),"")</f>
        <v/>
      </c>
      <c r="E2210" s="189" t="str">
        <f ca="1">IFERROR(__xludf.DUMMYFUNCTION("""COMPUTED_VALUE"""),"")</f>
        <v/>
      </c>
      <c r="F2210" s="189" t="str">
        <f ca="1">IFERROR(__xludf.DUMMYFUNCTION("""COMPUTED_VALUE"""),"")</f>
        <v/>
      </c>
      <c r="G2210" s="189" t="str">
        <f ca="1">IFERROR(__xludf.DUMMYFUNCTION("""COMPUTED_VALUE"""),"")</f>
        <v/>
      </c>
      <c r="H2210" s="196" t="s">
        <v>29</v>
      </c>
      <c r="I2210" s="196"/>
      <c r="J2210" s="196" t="s">
        <v>29</v>
      </c>
      <c r="K2210" s="196"/>
      <c r="L2210" s="196" t="str">
        <v/>
      </c>
      <c r="M2210" s="196"/>
    </row>
    <row r="2211" spans="1:13" ht="14.4" x14ac:dyDescent="0.3">
      <c r="A2211" s="189"/>
      <c r="B2211" s="197" t="str">
        <f ca="1">IFERROR(__xludf.DUMMYFUNCTION("""COMPUTED_VALUE"""),"")</f>
        <v/>
      </c>
      <c r="C2211" s="189" t="str">
        <f ca="1">IFERROR(__xludf.DUMMYFUNCTION("""COMPUTED_VALUE"""),"")</f>
        <v/>
      </c>
      <c r="D2211" s="189" t="str">
        <f ca="1">IFERROR(__xludf.DUMMYFUNCTION("""COMPUTED_VALUE"""),"")</f>
        <v/>
      </c>
      <c r="E2211" s="189" t="str">
        <f ca="1">IFERROR(__xludf.DUMMYFUNCTION("""COMPUTED_VALUE"""),"")</f>
        <v/>
      </c>
      <c r="F2211" s="189" t="str">
        <f ca="1">IFERROR(__xludf.DUMMYFUNCTION("""COMPUTED_VALUE"""),"")</f>
        <v/>
      </c>
      <c r="G2211" s="189" t="str">
        <f ca="1">IFERROR(__xludf.DUMMYFUNCTION("""COMPUTED_VALUE"""),"")</f>
        <v/>
      </c>
      <c r="H2211" s="196" t="s">
        <v>29</v>
      </c>
      <c r="I2211" s="196"/>
      <c r="J2211" s="196" t="s">
        <v>29</v>
      </c>
      <c r="K2211" s="196"/>
      <c r="L2211" s="196" t="str">
        <v/>
      </c>
      <c r="M2211" s="196"/>
    </row>
    <row r="2212" spans="1:13" ht="14.4" x14ac:dyDescent="0.3">
      <c r="A2212" s="189"/>
      <c r="B2212" s="197" t="str">
        <f ca="1">IFERROR(__xludf.DUMMYFUNCTION("""COMPUTED_VALUE"""),"")</f>
        <v/>
      </c>
      <c r="C2212" s="189" t="str">
        <f ca="1">IFERROR(__xludf.DUMMYFUNCTION("""COMPUTED_VALUE"""),"")</f>
        <v/>
      </c>
      <c r="D2212" s="189" t="str">
        <f ca="1">IFERROR(__xludf.DUMMYFUNCTION("""COMPUTED_VALUE"""),"")</f>
        <v/>
      </c>
      <c r="E2212" s="189" t="str">
        <f ca="1">IFERROR(__xludf.DUMMYFUNCTION("""COMPUTED_VALUE"""),"")</f>
        <v/>
      </c>
      <c r="F2212" s="189" t="str">
        <f ca="1">IFERROR(__xludf.DUMMYFUNCTION("""COMPUTED_VALUE"""),"")</f>
        <v/>
      </c>
      <c r="G2212" s="189" t="str">
        <f ca="1">IFERROR(__xludf.DUMMYFUNCTION("""COMPUTED_VALUE"""),"")</f>
        <v/>
      </c>
      <c r="H2212" s="196" t="s">
        <v>29</v>
      </c>
      <c r="I2212" s="196"/>
      <c r="J2212" s="196" t="s">
        <v>29</v>
      </c>
      <c r="K2212" s="196"/>
      <c r="L2212" s="196" t="str">
        <v/>
      </c>
      <c r="M2212" s="196"/>
    </row>
    <row r="2213" spans="1:13" ht="14.4" x14ac:dyDescent="0.3">
      <c r="A2213" s="189"/>
      <c r="B2213" s="197" t="str">
        <f ca="1">IFERROR(__xludf.DUMMYFUNCTION("""COMPUTED_VALUE"""),"")</f>
        <v/>
      </c>
      <c r="C2213" s="189" t="str">
        <f ca="1">IFERROR(__xludf.DUMMYFUNCTION("""COMPUTED_VALUE"""),"")</f>
        <v/>
      </c>
      <c r="D2213" s="189" t="str">
        <f ca="1">IFERROR(__xludf.DUMMYFUNCTION("""COMPUTED_VALUE"""),"")</f>
        <v/>
      </c>
      <c r="E2213" s="189" t="str">
        <f ca="1">IFERROR(__xludf.DUMMYFUNCTION("""COMPUTED_VALUE"""),"")</f>
        <v/>
      </c>
      <c r="F2213" s="189" t="str">
        <f ca="1">IFERROR(__xludf.DUMMYFUNCTION("""COMPUTED_VALUE"""),"")</f>
        <v/>
      </c>
      <c r="G2213" s="189" t="str">
        <f ca="1">IFERROR(__xludf.DUMMYFUNCTION("""COMPUTED_VALUE"""),"")</f>
        <v/>
      </c>
      <c r="H2213" s="196" t="s">
        <v>29</v>
      </c>
      <c r="I2213" s="196"/>
      <c r="J2213" s="196" t="s">
        <v>29</v>
      </c>
      <c r="K2213" s="196"/>
      <c r="L2213" s="196" t="str">
        <v/>
      </c>
      <c r="M2213" s="196"/>
    </row>
    <row r="2214" spans="1:13" ht="14.4" x14ac:dyDescent="0.3">
      <c r="A2214" s="189"/>
      <c r="B2214" s="197" t="str">
        <f ca="1">IFERROR(__xludf.DUMMYFUNCTION("""COMPUTED_VALUE"""),"")</f>
        <v/>
      </c>
      <c r="C2214" s="189" t="str">
        <f ca="1">IFERROR(__xludf.DUMMYFUNCTION("""COMPUTED_VALUE"""),"")</f>
        <v/>
      </c>
      <c r="D2214" s="189" t="str">
        <f ca="1">IFERROR(__xludf.DUMMYFUNCTION("""COMPUTED_VALUE"""),"")</f>
        <v/>
      </c>
      <c r="E2214" s="189" t="str">
        <f ca="1">IFERROR(__xludf.DUMMYFUNCTION("""COMPUTED_VALUE"""),"")</f>
        <v/>
      </c>
      <c r="F2214" s="189" t="str">
        <f ca="1">IFERROR(__xludf.DUMMYFUNCTION("""COMPUTED_VALUE"""),"")</f>
        <v/>
      </c>
      <c r="G2214" s="189" t="str">
        <f ca="1">IFERROR(__xludf.DUMMYFUNCTION("""COMPUTED_VALUE"""),"")</f>
        <v/>
      </c>
      <c r="H2214" s="196" t="s">
        <v>29</v>
      </c>
      <c r="I2214" s="196"/>
      <c r="J2214" s="196" t="s">
        <v>29</v>
      </c>
      <c r="K2214" s="196"/>
      <c r="L2214" s="196" t="str">
        <v/>
      </c>
      <c r="M2214" s="196"/>
    </row>
    <row r="2215" spans="1:13" ht="14.4" x14ac:dyDescent="0.3">
      <c r="A2215" s="189"/>
      <c r="B2215" s="197" t="str">
        <f ca="1">IFERROR(__xludf.DUMMYFUNCTION("""COMPUTED_VALUE"""),"")</f>
        <v/>
      </c>
      <c r="C2215" s="189" t="str">
        <f ca="1">IFERROR(__xludf.DUMMYFUNCTION("""COMPUTED_VALUE"""),"")</f>
        <v/>
      </c>
      <c r="D2215" s="189" t="str">
        <f ca="1">IFERROR(__xludf.DUMMYFUNCTION("""COMPUTED_VALUE"""),"")</f>
        <v/>
      </c>
      <c r="E2215" s="189" t="str">
        <f ca="1">IFERROR(__xludf.DUMMYFUNCTION("""COMPUTED_VALUE"""),"")</f>
        <v/>
      </c>
      <c r="F2215" s="189" t="str">
        <f ca="1">IFERROR(__xludf.DUMMYFUNCTION("""COMPUTED_VALUE"""),"")</f>
        <v/>
      </c>
      <c r="G2215" s="189" t="str">
        <f ca="1">IFERROR(__xludf.DUMMYFUNCTION("""COMPUTED_VALUE"""),"")</f>
        <v/>
      </c>
      <c r="H2215" s="196" t="s">
        <v>29</v>
      </c>
      <c r="I2215" s="196"/>
      <c r="J2215" s="196" t="s">
        <v>29</v>
      </c>
      <c r="K2215" s="196"/>
      <c r="L2215" s="196" t="str">
        <v/>
      </c>
      <c r="M2215" s="196"/>
    </row>
    <row r="2216" spans="1:13" ht="14.4" x14ac:dyDescent="0.3">
      <c r="A2216" s="189"/>
      <c r="B2216" s="197" t="str">
        <f ca="1">IFERROR(__xludf.DUMMYFUNCTION("""COMPUTED_VALUE"""),"")</f>
        <v/>
      </c>
      <c r="C2216" s="189" t="str">
        <f ca="1">IFERROR(__xludf.DUMMYFUNCTION("""COMPUTED_VALUE"""),"")</f>
        <v/>
      </c>
      <c r="D2216" s="189" t="str">
        <f ca="1">IFERROR(__xludf.DUMMYFUNCTION("""COMPUTED_VALUE"""),"")</f>
        <v/>
      </c>
      <c r="E2216" s="189" t="str">
        <f ca="1">IFERROR(__xludf.DUMMYFUNCTION("""COMPUTED_VALUE"""),"")</f>
        <v/>
      </c>
      <c r="F2216" s="189" t="str">
        <f ca="1">IFERROR(__xludf.DUMMYFUNCTION("""COMPUTED_VALUE"""),"")</f>
        <v/>
      </c>
      <c r="G2216" s="189" t="str">
        <f ca="1">IFERROR(__xludf.DUMMYFUNCTION("""COMPUTED_VALUE"""),"")</f>
        <v/>
      </c>
      <c r="H2216" s="196" t="s">
        <v>29</v>
      </c>
      <c r="I2216" s="196"/>
      <c r="J2216" s="196" t="s">
        <v>29</v>
      </c>
      <c r="K2216" s="196"/>
      <c r="L2216" s="196" t="str">
        <v/>
      </c>
      <c r="M2216" s="196"/>
    </row>
    <row r="2217" spans="1:13" ht="14.4" x14ac:dyDescent="0.3">
      <c r="A2217" s="189"/>
      <c r="B2217" s="197" t="str">
        <f ca="1">IFERROR(__xludf.DUMMYFUNCTION("""COMPUTED_VALUE"""),"")</f>
        <v/>
      </c>
      <c r="C2217" s="189" t="str">
        <f ca="1">IFERROR(__xludf.DUMMYFUNCTION("""COMPUTED_VALUE"""),"")</f>
        <v/>
      </c>
      <c r="D2217" s="189" t="str">
        <f ca="1">IFERROR(__xludf.DUMMYFUNCTION("""COMPUTED_VALUE"""),"")</f>
        <v/>
      </c>
      <c r="E2217" s="189" t="str">
        <f ca="1">IFERROR(__xludf.DUMMYFUNCTION("""COMPUTED_VALUE"""),"")</f>
        <v/>
      </c>
      <c r="F2217" s="189" t="str">
        <f ca="1">IFERROR(__xludf.DUMMYFUNCTION("""COMPUTED_VALUE"""),"")</f>
        <v/>
      </c>
      <c r="G2217" s="189" t="str">
        <f ca="1">IFERROR(__xludf.DUMMYFUNCTION("""COMPUTED_VALUE"""),"")</f>
        <v/>
      </c>
      <c r="H2217" s="196" t="s">
        <v>29</v>
      </c>
      <c r="I2217" s="196"/>
      <c r="J2217" s="196" t="s">
        <v>29</v>
      </c>
      <c r="K2217" s="196"/>
      <c r="L2217" s="196" t="str">
        <v/>
      </c>
      <c r="M2217" s="196"/>
    </row>
    <row r="2218" spans="1:13" ht="14.4" x14ac:dyDescent="0.3">
      <c r="A2218" s="189"/>
      <c r="B2218" s="197" t="str">
        <f ca="1">IFERROR(__xludf.DUMMYFUNCTION("""COMPUTED_VALUE"""),"")</f>
        <v/>
      </c>
      <c r="C2218" s="189" t="str">
        <f ca="1">IFERROR(__xludf.DUMMYFUNCTION("""COMPUTED_VALUE"""),"")</f>
        <v/>
      </c>
      <c r="D2218" s="189" t="str">
        <f ca="1">IFERROR(__xludf.DUMMYFUNCTION("""COMPUTED_VALUE"""),"")</f>
        <v/>
      </c>
      <c r="E2218" s="189" t="str">
        <f ca="1">IFERROR(__xludf.DUMMYFUNCTION("""COMPUTED_VALUE"""),"")</f>
        <v/>
      </c>
      <c r="F2218" s="189" t="str">
        <f ca="1">IFERROR(__xludf.DUMMYFUNCTION("""COMPUTED_VALUE"""),"")</f>
        <v/>
      </c>
      <c r="G2218" s="189" t="str">
        <f ca="1">IFERROR(__xludf.DUMMYFUNCTION("""COMPUTED_VALUE"""),"")</f>
        <v/>
      </c>
      <c r="H2218" s="196" t="s">
        <v>29</v>
      </c>
      <c r="I2218" s="196"/>
      <c r="J2218" s="196" t="s">
        <v>29</v>
      </c>
      <c r="K2218" s="196"/>
      <c r="L2218" s="196" t="str">
        <v/>
      </c>
      <c r="M2218" s="196"/>
    </row>
    <row r="2219" spans="1:13" ht="14.4" x14ac:dyDescent="0.3">
      <c r="A2219" s="189"/>
      <c r="B2219" s="197" t="str">
        <f ca="1">IFERROR(__xludf.DUMMYFUNCTION("""COMPUTED_VALUE"""),"")</f>
        <v/>
      </c>
      <c r="C2219" s="189" t="str">
        <f ca="1">IFERROR(__xludf.DUMMYFUNCTION("""COMPUTED_VALUE"""),"")</f>
        <v/>
      </c>
      <c r="D2219" s="189" t="str">
        <f ca="1">IFERROR(__xludf.DUMMYFUNCTION("""COMPUTED_VALUE"""),"")</f>
        <v/>
      </c>
      <c r="E2219" s="189" t="str">
        <f ca="1">IFERROR(__xludf.DUMMYFUNCTION("""COMPUTED_VALUE"""),"")</f>
        <v/>
      </c>
      <c r="F2219" s="189" t="str">
        <f ca="1">IFERROR(__xludf.DUMMYFUNCTION("""COMPUTED_VALUE"""),"")</f>
        <v/>
      </c>
      <c r="G2219" s="189" t="str">
        <f ca="1">IFERROR(__xludf.DUMMYFUNCTION("""COMPUTED_VALUE"""),"")</f>
        <v/>
      </c>
      <c r="H2219" s="196" t="s">
        <v>29</v>
      </c>
      <c r="I2219" s="196"/>
      <c r="J2219" s="196" t="s">
        <v>29</v>
      </c>
      <c r="K2219" s="196"/>
      <c r="L2219" s="196" t="str">
        <v/>
      </c>
      <c r="M2219" s="196"/>
    </row>
    <row r="2220" spans="1:13" ht="14.4" x14ac:dyDescent="0.3">
      <c r="A2220" s="189"/>
      <c r="B2220" s="197" t="str">
        <f ca="1">IFERROR(__xludf.DUMMYFUNCTION("""COMPUTED_VALUE"""),"")</f>
        <v/>
      </c>
      <c r="C2220" s="189" t="str">
        <f ca="1">IFERROR(__xludf.DUMMYFUNCTION("""COMPUTED_VALUE"""),"")</f>
        <v/>
      </c>
      <c r="D2220" s="189" t="str">
        <f ca="1">IFERROR(__xludf.DUMMYFUNCTION("""COMPUTED_VALUE"""),"")</f>
        <v/>
      </c>
      <c r="E2220" s="189" t="str">
        <f ca="1">IFERROR(__xludf.DUMMYFUNCTION("""COMPUTED_VALUE"""),"")</f>
        <v/>
      </c>
      <c r="F2220" s="189" t="str">
        <f ca="1">IFERROR(__xludf.DUMMYFUNCTION("""COMPUTED_VALUE"""),"")</f>
        <v/>
      </c>
      <c r="G2220" s="189" t="str">
        <f ca="1">IFERROR(__xludf.DUMMYFUNCTION("""COMPUTED_VALUE"""),"")</f>
        <v/>
      </c>
      <c r="H2220" s="196" t="s">
        <v>29</v>
      </c>
      <c r="I2220" s="196"/>
      <c r="J2220" s="196" t="s">
        <v>29</v>
      </c>
      <c r="K2220" s="196"/>
      <c r="L2220" s="196" t="str">
        <v/>
      </c>
      <c r="M2220" s="196"/>
    </row>
    <row r="2221" spans="1:13" ht="14.4" x14ac:dyDescent="0.3">
      <c r="A2221" s="189"/>
      <c r="B2221" s="197" t="str">
        <f ca="1">IFERROR(__xludf.DUMMYFUNCTION("""COMPUTED_VALUE"""),"")</f>
        <v/>
      </c>
      <c r="C2221" s="189" t="str">
        <f ca="1">IFERROR(__xludf.DUMMYFUNCTION("""COMPUTED_VALUE"""),"")</f>
        <v/>
      </c>
      <c r="D2221" s="189" t="str">
        <f ca="1">IFERROR(__xludf.DUMMYFUNCTION("""COMPUTED_VALUE"""),"")</f>
        <v/>
      </c>
      <c r="E2221" s="189" t="str">
        <f ca="1">IFERROR(__xludf.DUMMYFUNCTION("""COMPUTED_VALUE"""),"")</f>
        <v/>
      </c>
      <c r="F2221" s="189" t="str">
        <f ca="1">IFERROR(__xludf.DUMMYFUNCTION("""COMPUTED_VALUE"""),"")</f>
        <v/>
      </c>
      <c r="G2221" s="189" t="str">
        <f ca="1">IFERROR(__xludf.DUMMYFUNCTION("""COMPUTED_VALUE"""),"")</f>
        <v/>
      </c>
      <c r="H2221" s="196" t="s">
        <v>29</v>
      </c>
      <c r="I2221" s="196"/>
      <c r="J2221" s="196" t="s">
        <v>29</v>
      </c>
      <c r="K2221" s="196"/>
      <c r="L2221" s="196" t="str">
        <v/>
      </c>
      <c r="M2221" s="196"/>
    </row>
    <row r="2222" spans="1:13" ht="14.4" x14ac:dyDescent="0.3">
      <c r="A2222" s="189"/>
      <c r="B2222" s="197" t="str">
        <f ca="1">IFERROR(__xludf.DUMMYFUNCTION("""COMPUTED_VALUE"""),"")</f>
        <v/>
      </c>
      <c r="C2222" s="189" t="str">
        <f ca="1">IFERROR(__xludf.DUMMYFUNCTION("""COMPUTED_VALUE"""),"")</f>
        <v/>
      </c>
      <c r="D2222" s="189" t="str">
        <f ca="1">IFERROR(__xludf.DUMMYFUNCTION("""COMPUTED_VALUE"""),"")</f>
        <v/>
      </c>
      <c r="E2222" s="189" t="str">
        <f ca="1">IFERROR(__xludf.DUMMYFUNCTION("""COMPUTED_VALUE"""),"")</f>
        <v/>
      </c>
      <c r="F2222" s="189" t="str">
        <f ca="1">IFERROR(__xludf.DUMMYFUNCTION("""COMPUTED_VALUE"""),"")</f>
        <v/>
      </c>
      <c r="G2222" s="189" t="str">
        <f ca="1">IFERROR(__xludf.DUMMYFUNCTION("""COMPUTED_VALUE"""),"")</f>
        <v/>
      </c>
      <c r="H2222" s="196" t="s">
        <v>29</v>
      </c>
      <c r="I2222" s="196"/>
      <c r="J2222" s="196" t="s">
        <v>29</v>
      </c>
      <c r="K2222" s="196"/>
      <c r="L2222" s="196" t="str">
        <v/>
      </c>
      <c r="M2222" s="196"/>
    </row>
    <row r="2223" spans="1:13" ht="14.4" x14ac:dyDescent="0.3">
      <c r="A2223" s="189"/>
      <c r="B2223" s="197" t="str">
        <f ca="1">IFERROR(__xludf.DUMMYFUNCTION("""COMPUTED_VALUE"""),"")</f>
        <v/>
      </c>
      <c r="C2223" s="189" t="str">
        <f ca="1">IFERROR(__xludf.DUMMYFUNCTION("""COMPUTED_VALUE"""),"")</f>
        <v/>
      </c>
      <c r="D2223" s="189" t="str">
        <f ca="1">IFERROR(__xludf.DUMMYFUNCTION("""COMPUTED_VALUE"""),"")</f>
        <v/>
      </c>
      <c r="E2223" s="189" t="str">
        <f ca="1">IFERROR(__xludf.DUMMYFUNCTION("""COMPUTED_VALUE"""),"")</f>
        <v/>
      </c>
      <c r="F2223" s="189" t="str">
        <f ca="1">IFERROR(__xludf.DUMMYFUNCTION("""COMPUTED_VALUE"""),"")</f>
        <v/>
      </c>
      <c r="G2223" s="189" t="str">
        <f ca="1">IFERROR(__xludf.DUMMYFUNCTION("""COMPUTED_VALUE"""),"")</f>
        <v/>
      </c>
      <c r="H2223" s="196" t="s">
        <v>29</v>
      </c>
      <c r="I2223" s="196"/>
      <c r="J2223" s="196" t="s">
        <v>29</v>
      </c>
      <c r="K2223" s="196"/>
      <c r="L2223" s="196" t="str">
        <v/>
      </c>
      <c r="M2223" s="196"/>
    </row>
    <row r="2224" spans="1:13" ht="14.4" x14ac:dyDescent="0.3">
      <c r="A2224" s="189"/>
      <c r="B2224" s="197" t="str">
        <f ca="1">IFERROR(__xludf.DUMMYFUNCTION("""COMPUTED_VALUE"""),"")</f>
        <v/>
      </c>
      <c r="C2224" s="189" t="str">
        <f ca="1">IFERROR(__xludf.DUMMYFUNCTION("""COMPUTED_VALUE"""),"")</f>
        <v/>
      </c>
      <c r="D2224" s="189" t="str">
        <f ca="1">IFERROR(__xludf.DUMMYFUNCTION("""COMPUTED_VALUE"""),"")</f>
        <v/>
      </c>
      <c r="E2224" s="189" t="str">
        <f ca="1">IFERROR(__xludf.DUMMYFUNCTION("""COMPUTED_VALUE"""),"")</f>
        <v/>
      </c>
      <c r="F2224" s="189" t="str">
        <f ca="1">IFERROR(__xludf.DUMMYFUNCTION("""COMPUTED_VALUE"""),"")</f>
        <v/>
      </c>
      <c r="G2224" s="189" t="str">
        <f ca="1">IFERROR(__xludf.DUMMYFUNCTION("""COMPUTED_VALUE"""),"")</f>
        <v/>
      </c>
      <c r="H2224" s="196" t="s">
        <v>29</v>
      </c>
      <c r="I2224" s="196"/>
      <c r="J2224" s="196" t="s">
        <v>29</v>
      </c>
      <c r="K2224" s="196"/>
      <c r="L2224" s="196" t="str">
        <v/>
      </c>
      <c r="M2224" s="196"/>
    </row>
    <row r="2225" spans="1:13" ht="14.4" x14ac:dyDescent="0.3">
      <c r="A2225" s="189"/>
      <c r="B2225" s="197" t="str">
        <f ca="1">IFERROR(__xludf.DUMMYFUNCTION("""COMPUTED_VALUE"""),"")</f>
        <v/>
      </c>
      <c r="C2225" s="189" t="str">
        <f ca="1">IFERROR(__xludf.DUMMYFUNCTION("""COMPUTED_VALUE"""),"")</f>
        <v/>
      </c>
      <c r="D2225" s="189" t="str">
        <f ca="1">IFERROR(__xludf.DUMMYFUNCTION("""COMPUTED_VALUE"""),"")</f>
        <v/>
      </c>
      <c r="E2225" s="189" t="str">
        <f ca="1">IFERROR(__xludf.DUMMYFUNCTION("""COMPUTED_VALUE"""),"")</f>
        <v/>
      </c>
      <c r="F2225" s="189" t="str">
        <f ca="1">IFERROR(__xludf.DUMMYFUNCTION("""COMPUTED_VALUE"""),"")</f>
        <v/>
      </c>
      <c r="G2225" s="189" t="str">
        <f ca="1">IFERROR(__xludf.DUMMYFUNCTION("""COMPUTED_VALUE"""),"")</f>
        <v/>
      </c>
      <c r="H2225" s="196" t="s">
        <v>29</v>
      </c>
      <c r="I2225" s="196"/>
      <c r="J2225" s="196" t="s">
        <v>29</v>
      </c>
      <c r="K2225" s="196"/>
      <c r="L2225" s="196" t="str">
        <v/>
      </c>
      <c r="M2225" s="196"/>
    </row>
    <row r="2226" spans="1:13" ht="14.4" x14ac:dyDescent="0.3">
      <c r="A2226" s="189"/>
      <c r="B2226" s="197" t="str">
        <f ca="1">IFERROR(__xludf.DUMMYFUNCTION("""COMPUTED_VALUE"""),"")</f>
        <v/>
      </c>
      <c r="C2226" s="189" t="str">
        <f ca="1">IFERROR(__xludf.DUMMYFUNCTION("""COMPUTED_VALUE"""),"")</f>
        <v/>
      </c>
      <c r="D2226" s="189" t="str">
        <f ca="1">IFERROR(__xludf.DUMMYFUNCTION("""COMPUTED_VALUE"""),"")</f>
        <v/>
      </c>
      <c r="E2226" s="189" t="str">
        <f ca="1">IFERROR(__xludf.DUMMYFUNCTION("""COMPUTED_VALUE"""),"")</f>
        <v/>
      </c>
      <c r="F2226" s="189" t="str">
        <f ca="1">IFERROR(__xludf.DUMMYFUNCTION("""COMPUTED_VALUE"""),"")</f>
        <v/>
      </c>
      <c r="G2226" s="189" t="str">
        <f ca="1">IFERROR(__xludf.DUMMYFUNCTION("""COMPUTED_VALUE"""),"")</f>
        <v/>
      </c>
      <c r="H2226" s="196" t="s">
        <v>29</v>
      </c>
      <c r="I2226" s="196"/>
      <c r="J2226" s="196" t="s">
        <v>29</v>
      </c>
      <c r="K2226" s="196"/>
      <c r="L2226" s="196" t="str">
        <v/>
      </c>
      <c r="M2226" s="196"/>
    </row>
    <row r="2227" spans="1:13" ht="14.4" x14ac:dyDescent="0.3">
      <c r="A2227" s="189"/>
      <c r="B2227" s="197" t="str">
        <f ca="1">IFERROR(__xludf.DUMMYFUNCTION("""COMPUTED_VALUE"""),"")</f>
        <v/>
      </c>
      <c r="C2227" s="189" t="str">
        <f ca="1">IFERROR(__xludf.DUMMYFUNCTION("""COMPUTED_VALUE"""),"")</f>
        <v/>
      </c>
      <c r="D2227" s="189" t="str">
        <f ca="1">IFERROR(__xludf.DUMMYFUNCTION("""COMPUTED_VALUE"""),"")</f>
        <v/>
      </c>
      <c r="E2227" s="189" t="str">
        <f ca="1">IFERROR(__xludf.DUMMYFUNCTION("""COMPUTED_VALUE"""),"")</f>
        <v/>
      </c>
      <c r="F2227" s="189" t="str">
        <f ca="1">IFERROR(__xludf.DUMMYFUNCTION("""COMPUTED_VALUE"""),"")</f>
        <v/>
      </c>
      <c r="G2227" s="189" t="str">
        <f ca="1">IFERROR(__xludf.DUMMYFUNCTION("""COMPUTED_VALUE"""),"")</f>
        <v/>
      </c>
      <c r="H2227" s="196" t="s">
        <v>29</v>
      </c>
      <c r="I2227" s="196"/>
      <c r="J2227" s="196" t="s">
        <v>29</v>
      </c>
      <c r="K2227" s="196"/>
      <c r="L2227" s="196" t="str">
        <v/>
      </c>
      <c r="M2227" s="196"/>
    </row>
    <row r="2228" spans="1:13" ht="14.4" x14ac:dyDescent="0.3">
      <c r="A2228" s="189"/>
      <c r="B2228" s="197" t="str">
        <f ca="1">IFERROR(__xludf.DUMMYFUNCTION("""COMPUTED_VALUE"""),"")</f>
        <v/>
      </c>
      <c r="C2228" s="189" t="str">
        <f ca="1">IFERROR(__xludf.DUMMYFUNCTION("""COMPUTED_VALUE"""),"")</f>
        <v/>
      </c>
      <c r="D2228" s="189" t="str">
        <f ca="1">IFERROR(__xludf.DUMMYFUNCTION("""COMPUTED_VALUE"""),"")</f>
        <v/>
      </c>
      <c r="E2228" s="189" t="str">
        <f ca="1">IFERROR(__xludf.DUMMYFUNCTION("""COMPUTED_VALUE"""),"")</f>
        <v/>
      </c>
      <c r="F2228" s="189" t="str">
        <f ca="1">IFERROR(__xludf.DUMMYFUNCTION("""COMPUTED_VALUE"""),"")</f>
        <v/>
      </c>
      <c r="G2228" s="189" t="str">
        <f ca="1">IFERROR(__xludf.DUMMYFUNCTION("""COMPUTED_VALUE"""),"")</f>
        <v/>
      </c>
      <c r="H2228" s="196" t="s">
        <v>29</v>
      </c>
      <c r="I2228" s="196"/>
      <c r="J2228" s="196" t="s">
        <v>29</v>
      </c>
      <c r="K2228" s="196"/>
      <c r="L2228" s="196" t="str">
        <v/>
      </c>
      <c r="M2228" s="196"/>
    </row>
    <row r="2229" spans="1:13" ht="14.4" x14ac:dyDescent="0.3">
      <c r="A2229" s="189"/>
      <c r="B2229" s="197" t="str">
        <f ca="1">IFERROR(__xludf.DUMMYFUNCTION("""COMPUTED_VALUE"""),"")</f>
        <v/>
      </c>
      <c r="C2229" s="189" t="str">
        <f ca="1">IFERROR(__xludf.DUMMYFUNCTION("""COMPUTED_VALUE"""),"")</f>
        <v/>
      </c>
      <c r="D2229" s="189" t="str">
        <f ca="1">IFERROR(__xludf.DUMMYFUNCTION("""COMPUTED_VALUE"""),"")</f>
        <v/>
      </c>
      <c r="E2229" s="189" t="str">
        <f ca="1">IFERROR(__xludf.DUMMYFUNCTION("""COMPUTED_VALUE"""),"")</f>
        <v/>
      </c>
      <c r="F2229" s="189" t="str">
        <f ca="1">IFERROR(__xludf.DUMMYFUNCTION("""COMPUTED_VALUE"""),"")</f>
        <v/>
      </c>
      <c r="G2229" s="189" t="str">
        <f ca="1">IFERROR(__xludf.DUMMYFUNCTION("""COMPUTED_VALUE"""),"")</f>
        <v/>
      </c>
      <c r="H2229" s="196" t="s">
        <v>29</v>
      </c>
      <c r="I2229" s="196"/>
      <c r="J2229" s="196" t="s">
        <v>29</v>
      </c>
      <c r="K2229" s="196"/>
      <c r="L2229" s="196" t="str">
        <v/>
      </c>
      <c r="M2229" s="196"/>
    </row>
    <row r="2230" spans="1:13" ht="14.4" x14ac:dyDescent="0.3">
      <c r="A2230" s="189"/>
      <c r="B2230" s="197" t="str">
        <f ca="1">IFERROR(__xludf.DUMMYFUNCTION("""COMPUTED_VALUE"""),"")</f>
        <v/>
      </c>
      <c r="C2230" s="189" t="str">
        <f ca="1">IFERROR(__xludf.DUMMYFUNCTION("""COMPUTED_VALUE"""),"")</f>
        <v/>
      </c>
      <c r="D2230" s="189" t="str">
        <f ca="1">IFERROR(__xludf.DUMMYFUNCTION("""COMPUTED_VALUE"""),"")</f>
        <v/>
      </c>
      <c r="E2230" s="189" t="str">
        <f ca="1">IFERROR(__xludf.DUMMYFUNCTION("""COMPUTED_VALUE"""),"")</f>
        <v/>
      </c>
      <c r="F2230" s="189" t="str">
        <f ca="1">IFERROR(__xludf.DUMMYFUNCTION("""COMPUTED_VALUE"""),"")</f>
        <v/>
      </c>
      <c r="G2230" s="189" t="str">
        <f ca="1">IFERROR(__xludf.DUMMYFUNCTION("""COMPUTED_VALUE"""),"")</f>
        <v/>
      </c>
      <c r="H2230" s="196" t="s">
        <v>29</v>
      </c>
      <c r="I2230" s="196"/>
      <c r="J2230" s="196" t="s">
        <v>29</v>
      </c>
      <c r="K2230" s="196"/>
      <c r="L2230" s="196" t="str">
        <v/>
      </c>
      <c r="M2230" s="196"/>
    </row>
    <row r="2231" spans="1:13" ht="14.4" x14ac:dyDescent="0.3">
      <c r="A2231" s="189"/>
      <c r="B2231" s="197" t="str">
        <f ca="1">IFERROR(__xludf.DUMMYFUNCTION("""COMPUTED_VALUE"""),"")</f>
        <v/>
      </c>
      <c r="C2231" s="189" t="str">
        <f ca="1">IFERROR(__xludf.DUMMYFUNCTION("""COMPUTED_VALUE"""),"")</f>
        <v/>
      </c>
      <c r="D2231" s="189" t="str">
        <f ca="1">IFERROR(__xludf.DUMMYFUNCTION("""COMPUTED_VALUE"""),"")</f>
        <v/>
      </c>
      <c r="E2231" s="189" t="str">
        <f ca="1">IFERROR(__xludf.DUMMYFUNCTION("""COMPUTED_VALUE"""),"")</f>
        <v/>
      </c>
      <c r="F2231" s="189" t="str">
        <f ca="1">IFERROR(__xludf.DUMMYFUNCTION("""COMPUTED_VALUE"""),"")</f>
        <v/>
      </c>
      <c r="G2231" s="189" t="str">
        <f ca="1">IFERROR(__xludf.DUMMYFUNCTION("""COMPUTED_VALUE"""),"")</f>
        <v/>
      </c>
      <c r="H2231" s="196" t="s">
        <v>29</v>
      </c>
      <c r="I2231" s="196"/>
      <c r="J2231" s="196" t="s">
        <v>29</v>
      </c>
      <c r="K2231" s="196"/>
      <c r="L2231" s="196" t="str">
        <v/>
      </c>
      <c r="M2231" s="196"/>
    </row>
    <row r="2232" spans="1:13" ht="14.4" x14ac:dyDescent="0.3">
      <c r="A2232" s="189"/>
      <c r="B2232" s="197" t="str">
        <f ca="1">IFERROR(__xludf.DUMMYFUNCTION("""COMPUTED_VALUE"""),"")</f>
        <v/>
      </c>
      <c r="C2232" s="189" t="str">
        <f ca="1">IFERROR(__xludf.DUMMYFUNCTION("""COMPUTED_VALUE"""),"")</f>
        <v/>
      </c>
      <c r="D2232" s="189" t="str">
        <f ca="1">IFERROR(__xludf.DUMMYFUNCTION("""COMPUTED_VALUE"""),"")</f>
        <v/>
      </c>
      <c r="E2232" s="189" t="str">
        <f ca="1">IFERROR(__xludf.DUMMYFUNCTION("""COMPUTED_VALUE"""),"")</f>
        <v/>
      </c>
      <c r="F2232" s="189" t="str">
        <f ca="1">IFERROR(__xludf.DUMMYFUNCTION("""COMPUTED_VALUE"""),"")</f>
        <v/>
      </c>
      <c r="G2232" s="189" t="str">
        <f ca="1">IFERROR(__xludf.DUMMYFUNCTION("""COMPUTED_VALUE"""),"")</f>
        <v/>
      </c>
      <c r="H2232" s="196" t="s">
        <v>29</v>
      </c>
      <c r="I2232" s="196"/>
      <c r="J2232" s="196" t="s">
        <v>29</v>
      </c>
      <c r="K2232" s="196"/>
      <c r="L2232" s="196" t="str">
        <v/>
      </c>
      <c r="M2232" s="196"/>
    </row>
    <row r="2233" spans="1:13" ht="14.4" x14ac:dyDescent="0.3">
      <c r="A2233" s="189"/>
      <c r="B2233" s="197" t="str">
        <f ca="1">IFERROR(__xludf.DUMMYFUNCTION("""COMPUTED_VALUE"""),"")</f>
        <v/>
      </c>
      <c r="C2233" s="189" t="str">
        <f ca="1">IFERROR(__xludf.DUMMYFUNCTION("""COMPUTED_VALUE"""),"")</f>
        <v/>
      </c>
      <c r="D2233" s="189" t="str">
        <f ca="1">IFERROR(__xludf.DUMMYFUNCTION("""COMPUTED_VALUE"""),"")</f>
        <v/>
      </c>
      <c r="E2233" s="189" t="str">
        <f ca="1">IFERROR(__xludf.DUMMYFUNCTION("""COMPUTED_VALUE"""),"")</f>
        <v/>
      </c>
      <c r="F2233" s="189" t="str">
        <f ca="1">IFERROR(__xludf.DUMMYFUNCTION("""COMPUTED_VALUE"""),"")</f>
        <v/>
      </c>
      <c r="G2233" s="189" t="str">
        <f ca="1">IFERROR(__xludf.DUMMYFUNCTION("""COMPUTED_VALUE"""),"")</f>
        <v/>
      </c>
      <c r="H2233" s="196" t="s">
        <v>29</v>
      </c>
      <c r="I2233" s="196"/>
      <c r="J2233" s="196" t="s">
        <v>29</v>
      </c>
      <c r="K2233" s="196"/>
      <c r="L2233" s="196" t="str">
        <v/>
      </c>
      <c r="M2233" s="196"/>
    </row>
    <row r="2234" spans="1:13" ht="14.4" x14ac:dyDescent="0.3">
      <c r="A2234" s="189"/>
      <c r="B2234" s="197" t="str">
        <f ca="1">IFERROR(__xludf.DUMMYFUNCTION("""COMPUTED_VALUE"""),"")</f>
        <v/>
      </c>
      <c r="C2234" s="189" t="str">
        <f ca="1">IFERROR(__xludf.DUMMYFUNCTION("""COMPUTED_VALUE"""),"")</f>
        <v/>
      </c>
      <c r="D2234" s="189" t="str">
        <f ca="1">IFERROR(__xludf.DUMMYFUNCTION("""COMPUTED_VALUE"""),"")</f>
        <v/>
      </c>
      <c r="E2234" s="189" t="str">
        <f ca="1">IFERROR(__xludf.DUMMYFUNCTION("""COMPUTED_VALUE"""),"")</f>
        <v/>
      </c>
      <c r="F2234" s="189" t="str">
        <f ca="1">IFERROR(__xludf.DUMMYFUNCTION("""COMPUTED_VALUE"""),"")</f>
        <v/>
      </c>
      <c r="G2234" s="189" t="str">
        <f ca="1">IFERROR(__xludf.DUMMYFUNCTION("""COMPUTED_VALUE"""),"")</f>
        <v/>
      </c>
      <c r="H2234" s="196" t="s">
        <v>29</v>
      </c>
      <c r="I2234" s="196"/>
      <c r="J2234" s="196" t="s">
        <v>29</v>
      </c>
      <c r="K2234" s="196"/>
      <c r="L2234" s="196" t="str">
        <v/>
      </c>
      <c r="M2234" s="196"/>
    </row>
    <row r="2235" spans="1:13" ht="14.4" x14ac:dyDescent="0.3">
      <c r="A2235" s="189"/>
      <c r="B2235" s="197" t="str">
        <f ca="1">IFERROR(__xludf.DUMMYFUNCTION("""COMPUTED_VALUE"""),"")</f>
        <v/>
      </c>
      <c r="C2235" s="189" t="str">
        <f ca="1">IFERROR(__xludf.DUMMYFUNCTION("""COMPUTED_VALUE"""),"")</f>
        <v/>
      </c>
      <c r="D2235" s="189" t="str">
        <f ca="1">IFERROR(__xludf.DUMMYFUNCTION("""COMPUTED_VALUE"""),"")</f>
        <v/>
      </c>
      <c r="E2235" s="189" t="str">
        <f ca="1">IFERROR(__xludf.DUMMYFUNCTION("""COMPUTED_VALUE"""),"")</f>
        <v/>
      </c>
      <c r="F2235" s="189" t="str">
        <f ca="1">IFERROR(__xludf.DUMMYFUNCTION("""COMPUTED_VALUE"""),"")</f>
        <v/>
      </c>
      <c r="G2235" s="189" t="str">
        <f ca="1">IFERROR(__xludf.DUMMYFUNCTION("""COMPUTED_VALUE"""),"")</f>
        <v/>
      </c>
      <c r="H2235" s="196" t="s">
        <v>29</v>
      </c>
      <c r="I2235" s="196"/>
      <c r="J2235" s="196" t="s">
        <v>29</v>
      </c>
      <c r="K2235" s="196"/>
      <c r="L2235" s="196" t="str">
        <v/>
      </c>
      <c r="M2235" s="196"/>
    </row>
    <row r="2236" spans="1:13" ht="14.4" x14ac:dyDescent="0.3">
      <c r="A2236" s="189"/>
      <c r="B2236" s="197" t="str">
        <f ca="1">IFERROR(__xludf.DUMMYFUNCTION("""COMPUTED_VALUE"""),"")</f>
        <v/>
      </c>
      <c r="C2236" s="189" t="str">
        <f ca="1">IFERROR(__xludf.DUMMYFUNCTION("""COMPUTED_VALUE"""),"")</f>
        <v/>
      </c>
      <c r="D2236" s="189" t="str">
        <f ca="1">IFERROR(__xludf.DUMMYFUNCTION("""COMPUTED_VALUE"""),"")</f>
        <v/>
      </c>
      <c r="E2236" s="189" t="str">
        <f ca="1">IFERROR(__xludf.DUMMYFUNCTION("""COMPUTED_VALUE"""),"")</f>
        <v/>
      </c>
      <c r="F2236" s="189" t="str">
        <f ca="1">IFERROR(__xludf.DUMMYFUNCTION("""COMPUTED_VALUE"""),"")</f>
        <v/>
      </c>
      <c r="G2236" s="189" t="str">
        <f ca="1">IFERROR(__xludf.DUMMYFUNCTION("""COMPUTED_VALUE"""),"")</f>
        <v/>
      </c>
      <c r="H2236" s="196" t="s">
        <v>29</v>
      </c>
      <c r="I2236" s="196"/>
      <c r="J2236" s="196" t="s">
        <v>29</v>
      </c>
      <c r="K2236" s="196"/>
      <c r="L2236" s="196" t="str">
        <v/>
      </c>
      <c r="M2236" s="196"/>
    </row>
    <row r="2237" spans="1:13" ht="14.4" x14ac:dyDescent="0.3">
      <c r="A2237" s="189"/>
      <c r="B2237" s="197" t="str">
        <f ca="1">IFERROR(__xludf.DUMMYFUNCTION("""COMPUTED_VALUE"""),"")</f>
        <v/>
      </c>
      <c r="C2237" s="189" t="str">
        <f ca="1">IFERROR(__xludf.DUMMYFUNCTION("""COMPUTED_VALUE"""),"")</f>
        <v/>
      </c>
      <c r="D2237" s="189" t="str">
        <f ca="1">IFERROR(__xludf.DUMMYFUNCTION("""COMPUTED_VALUE"""),"")</f>
        <v/>
      </c>
      <c r="E2237" s="189" t="str">
        <f ca="1">IFERROR(__xludf.DUMMYFUNCTION("""COMPUTED_VALUE"""),"")</f>
        <v/>
      </c>
      <c r="F2237" s="189" t="str">
        <f ca="1">IFERROR(__xludf.DUMMYFUNCTION("""COMPUTED_VALUE"""),"")</f>
        <v/>
      </c>
      <c r="G2237" s="189" t="str">
        <f ca="1">IFERROR(__xludf.DUMMYFUNCTION("""COMPUTED_VALUE"""),"")</f>
        <v/>
      </c>
      <c r="H2237" s="196" t="s">
        <v>29</v>
      </c>
      <c r="I2237" s="196"/>
      <c r="J2237" s="196" t="s">
        <v>29</v>
      </c>
      <c r="K2237" s="196"/>
      <c r="L2237" s="196" t="str">
        <v/>
      </c>
      <c r="M2237" s="196"/>
    </row>
    <row r="2238" spans="1:13" ht="14.4" x14ac:dyDescent="0.3">
      <c r="A2238" s="189"/>
      <c r="B2238" s="197" t="str">
        <f ca="1">IFERROR(__xludf.DUMMYFUNCTION("""COMPUTED_VALUE"""),"")</f>
        <v/>
      </c>
      <c r="C2238" s="189" t="str">
        <f ca="1">IFERROR(__xludf.DUMMYFUNCTION("""COMPUTED_VALUE"""),"")</f>
        <v/>
      </c>
      <c r="D2238" s="189" t="str">
        <f ca="1">IFERROR(__xludf.DUMMYFUNCTION("""COMPUTED_VALUE"""),"")</f>
        <v/>
      </c>
      <c r="E2238" s="189" t="str">
        <f ca="1">IFERROR(__xludf.DUMMYFUNCTION("""COMPUTED_VALUE"""),"")</f>
        <v/>
      </c>
      <c r="F2238" s="189" t="str">
        <f ca="1">IFERROR(__xludf.DUMMYFUNCTION("""COMPUTED_VALUE"""),"")</f>
        <v/>
      </c>
      <c r="G2238" s="189" t="str">
        <f ca="1">IFERROR(__xludf.DUMMYFUNCTION("""COMPUTED_VALUE"""),"")</f>
        <v/>
      </c>
      <c r="H2238" s="196" t="s">
        <v>29</v>
      </c>
      <c r="I2238" s="196"/>
      <c r="J2238" s="196" t="s">
        <v>29</v>
      </c>
      <c r="K2238" s="196"/>
      <c r="L2238" s="196" t="str">
        <v/>
      </c>
      <c r="M2238" s="196"/>
    </row>
    <row r="2239" spans="1:13" ht="14.4" x14ac:dyDescent="0.3">
      <c r="A2239" s="189"/>
      <c r="B2239" s="197" t="str">
        <f ca="1">IFERROR(__xludf.DUMMYFUNCTION("""COMPUTED_VALUE"""),"")</f>
        <v/>
      </c>
      <c r="C2239" s="189" t="str">
        <f ca="1">IFERROR(__xludf.DUMMYFUNCTION("""COMPUTED_VALUE"""),"")</f>
        <v/>
      </c>
      <c r="D2239" s="189" t="str">
        <f ca="1">IFERROR(__xludf.DUMMYFUNCTION("""COMPUTED_VALUE"""),"")</f>
        <v/>
      </c>
      <c r="E2239" s="189" t="str">
        <f ca="1">IFERROR(__xludf.DUMMYFUNCTION("""COMPUTED_VALUE"""),"")</f>
        <v/>
      </c>
      <c r="F2239" s="189" t="str">
        <f ca="1">IFERROR(__xludf.DUMMYFUNCTION("""COMPUTED_VALUE"""),"")</f>
        <v/>
      </c>
      <c r="G2239" s="189" t="str">
        <f ca="1">IFERROR(__xludf.DUMMYFUNCTION("""COMPUTED_VALUE"""),"")</f>
        <v/>
      </c>
      <c r="H2239" s="196" t="s">
        <v>29</v>
      </c>
      <c r="I2239" s="196"/>
      <c r="J2239" s="196" t="s">
        <v>29</v>
      </c>
      <c r="K2239" s="196"/>
      <c r="L2239" s="196" t="str">
        <v/>
      </c>
      <c r="M2239" s="196"/>
    </row>
    <row r="2240" spans="1:13" ht="14.4" x14ac:dyDescent="0.3">
      <c r="A2240" s="189"/>
      <c r="B2240" s="197" t="str">
        <f ca="1">IFERROR(__xludf.DUMMYFUNCTION("""COMPUTED_VALUE"""),"")</f>
        <v/>
      </c>
      <c r="C2240" s="189" t="str">
        <f ca="1">IFERROR(__xludf.DUMMYFUNCTION("""COMPUTED_VALUE"""),"")</f>
        <v/>
      </c>
      <c r="D2240" s="189" t="str">
        <f ca="1">IFERROR(__xludf.DUMMYFUNCTION("""COMPUTED_VALUE"""),"")</f>
        <v/>
      </c>
      <c r="E2240" s="189" t="str">
        <f ca="1">IFERROR(__xludf.DUMMYFUNCTION("""COMPUTED_VALUE"""),"")</f>
        <v/>
      </c>
      <c r="F2240" s="189" t="str">
        <f ca="1">IFERROR(__xludf.DUMMYFUNCTION("""COMPUTED_VALUE"""),"")</f>
        <v/>
      </c>
      <c r="G2240" s="189" t="str">
        <f ca="1">IFERROR(__xludf.DUMMYFUNCTION("""COMPUTED_VALUE"""),"")</f>
        <v/>
      </c>
      <c r="H2240" s="196" t="s">
        <v>29</v>
      </c>
      <c r="I2240" s="196"/>
      <c r="J2240" s="196" t="s">
        <v>29</v>
      </c>
      <c r="K2240" s="196"/>
      <c r="L2240" s="196" t="str">
        <v/>
      </c>
      <c r="M2240" s="196"/>
    </row>
    <row r="2241" spans="1:13" ht="14.4" x14ac:dyDescent="0.3">
      <c r="A2241" s="189"/>
      <c r="B2241" s="197" t="str">
        <f ca="1">IFERROR(__xludf.DUMMYFUNCTION("""COMPUTED_VALUE"""),"")</f>
        <v/>
      </c>
      <c r="C2241" s="189" t="str">
        <f ca="1">IFERROR(__xludf.DUMMYFUNCTION("""COMPUTED_VALUE"""),"")</f>
        <v/>
      </c>
      <c r="D2241" s="189" t="str">
        <f ca="1">IFERROR(__xludf.DUMMYFUNCTION("""COMPUTED_VALUE"""),"")</f>
        <v/>
      </c>
      <c r="E2241" s="189" t="str">
        <f ca="1">IFERROR(__xludf.DUMMYFUNCTION("""COMPUTED_VALUE"""),"")</f>
        <v/>
      </c>
      <c r="F2241" s="189" t="str">
        <f ca="1">IFERROR(__xludf.DUMMYFUNCTION("""COMPUTED_VALUE"""),"")</f>
        <v/>
      </c>
      <c r="G2241" s="189" t="str">
        <f ca="1">IFERROR(__xludf.DUMMYFUNCTION("""COMPUTED_VALUE"""),"")</f>
        <v/>
      </c>
      <c r="H2241" s="196" t="s">
        <v>29</v>
      </c>
      <c r="I2241" s="196"/>
      <c r="J2241" s="196" t="s">
        <v>29</v>
      </c>
      <c r="K2241" s="196"/>
      <c r="L2241" s="196" t="str">
        <v/>
      </c>
      <c r="M2241" s="196"/>
    </row>
    <row r="2242" spans="1:13" ht="14.4" x14ac:dyDescent="0.3">
      <c r="A2242" s="189"/>
      <c r="B2242" s="197" t="str">
        <f ca="1">IFERROR(__xludf.DUMMYFUNCTION("""COMPUTED_VALUE"""),"")</f>
        <v/>
      </c>
      <c r="C2242" s="189" t="str">
        <f ca="1">IFERROR(__xludf.DUMMYFUNCTION("""COMPUTED_VALUE"""),"")</f>
        <v/>
      </c>
      <c r="D2242" s="189" t="str">
        <f ca="1">IFERROR(__xludf.DUMMYFUNCTION("""COMPUTED_VALUE"""),"")</f>
        <v/>
      </c>
      <c r="E2242" s="189" t="str">
        <f ca="1">IFERROR(__xludf.DUMMYFUNCTION("""COMPUTED_VALUE"""),"")</f>
        <v/>
      </c>
      <c r="F2242" s="189" t="str">
        <f ca="1">IFERROR(__xludf.DUMMYFUNCTION("""COMPUTED_VALUE"""),"")</f>
        <v/>
      </c>
      <c r="G2242" s="189" t="str">
        <f ca="1">IFERROR(__xludf.DUMMYFUNCTION("""COMPUTED_VALUE"""),"")</f>
        <v/>
      </c>
      <c r="H2242" s="196" t="s">
        <v>29</v>
      </c>
      <c r="I2242" s="196"/>
      <c r="J2242" s="196" t="s">
        <v>29</v>
      </c>
      <c r="K2242" s="196"/>
      <c r="L2242" s="196" t="str">
        <v/>
      </c>
      <c r="M2242" s="196"/>
    </row>
    <row r="2243" spans="1:13" ht="14.4" x14ac:dyDescent="0.3">
      <c r="A2243" s="189"/>
      <c r="B2243" s="197" t="str">
        <f ca="1">IFERROR(__xludf.DUMMYFUNCTION("""COMPUTED_VALUE"""),"")</f>
        <v/>
      </c>
      <c r="C2243" s="189" t="str">
        <f ca="1">IFERROR(__xludf.DUMMYFUNCTION("""COMPUTED_VALUE"""),"")</f>
        <v/>
      </c>
      <c r="D2243" s="189" t="str">
        <f ca="1">IFERROR(__xludf.DUMMYFUNCTION("""COMPUTED_VALUE"""),"")</f>
        <v/>
      </c>
      <c r="E2243" s="189" t="str">
        <f ca="1">IFERROR(__xludf.DUMMYFUNCTION("""COMPUTED_VALUE"""),"")</f>
        <v/>
      </c>
      <c r="F2243" s="189" t="str">
        <f ca="1">IFERROR(__xludf.DUMMYFUNCTION("""COMPUTED_VALUE"""),"")</f>
        <v/>
      </c>
      <c r="G2243" s="189" t="str">
        <f ca="1">IFERROR(__xludf.DUMMYFUNCTION("""COMPUTED_VALUE"""),"")</f>
        <v/>
      </c>
      <c r="H2243" s="196" t="s">
        <v>29</v>
      </c>
      <c r="I2243" s="196"/>
      <c r="J2243" s="196" t="s">
        <v>29</v>
      </c>
      <c r="K2243" s="196"/>
      <c r="L2243" s="196" t="str">
        <v/>
      </c>
      <c r="M2243" s="196"/>
    </row>
    <row r="2244" spans="1:13" ht="14.4" x14ac:dyDescent="0.3">
      <c r="A2244" s="189"/>
      <c r="B2244" s="197" t="str">
        <f ca="1">IFERROR(__xludf.DUMMYFUNCTION("""COMPUTED_VALUE"""),"")</f>
        <v/>
      </c>
      <c r="C2244" s="189" t="str">
        <f ca="1">IFERROR(__xludf.DUMMYFUNCTION("""COMPUTED_VALUE"""),"")</f>
        <v/>
      </c>
      <c r="D2244" s="189" t="str">
        <f ca="1">IFERROR(__xludf.DUMMYFUNCTION("""COMPUTED_VALUE"""),"")</f>
        <v/>
      </c>
      <c r="E2244" s="189" t="str">
        <f ca="1">IFERROR(__xludf.DUMMYFUNCTION("""COMPUTED_VALUE"""),"")</f>
        <v/>
      </c>
      <c r="F2244" s="189" t="str">
        <f ca="1">IFERROR(__xludf.DUMMYFUNCTION("""COMPUTED_VALUE"""),"")</f>
        <v/>
      </c>
      <c r="G2244" s="189" t="str">
        <f ca="1">IFERROR(__xludf.DUMMYFUNCTION("""COMPUTED_VALUE"""),"")</f>
        <v/>
      </c>
      <c r="H2244" s="196" t="s">
        <v>29</v>
      </c>
      <c r="I2244" s="196"/>
      <c r="J2244" s="196" t="s">
        <v>29</v>
      </c>
      <c r="K2244" s="196"/>
      <c r="L2244" s="196" t="str">
        <v/>
      </c>
      <c r="M2244" s="196"/>
    </row>
    <row r="2245" spans="1:13" ht="14.4" x14ac:dyDescent="0.3">
      <c r="A2245" s="189"/>
      <c r="B2245" s="197" t="str">
        <f ca="1">IFERROR(__xludf.DUMMYFUNCTION("""COMPUTED_VALUE"""),"")</f>
        <v/>
      </c>
      <c r="C2245" s="189" t="str">
        <f ca="1">IFERROR(__xludf.DUMMYFUNCTION("""COMPUTED_VALUE"""),"")</f>
        <v/>
      </c>
      <c r="D2245" s="189" t="str">
        <f ca="1">IFERROR(__xludf.DUMMYFUNCTION("""COMPUTED_VALUE"""),"")</f>
        <v/>
      </c>
      <c r="E2245" s="189" t="str">
        <f ca="1">IFERROR(__xludf.DUMMYFUNCTION("""COMPUTED_VALUE"""),"")</f>
        <v/>
      </c>
      <c r="F2245" s="189" t="str">
        <f ca="1">IFERROR(__xludf.DUMMYFUNCTION("""COMPUTED_VALUE"""),"")</f>
        <v/>
      </c>
      <c r="G2245" s="189" t="str">
        <f ca="1">IFERROR(__xludf.DUMMYFUNCTION("""COMPUTED_VALUE"""),"")</f>
        <v/>
      </c>
      <c r="H2245" s="196" t="s">
        <v>29</v>
      </c>
      <c r="I2245" s="196"/>
      <c r="J2245" s="196" t="s">
        <v>29</v>
      </c>
      <c r="K2245" s="196"/>
      <c r="L2245" s="196" t="str">
        <v/>
      </c>
      <c r="M2245" s="196"/>
    </row>
    <row r="2246" spans="1:13" ht="14.4" x14ac:dyDescent="0.3">
      <c r="A2246" s="189"/>
      <c r="B2246" s="197" t="str">
        <f ca="1">IFERROR(__xludf.DUMMYFUNCTION("""COMPUTED_VALUE"""),"")</f>
        <v/>
      </c>
      <c r="C2246" s="189" t="str">
        <f ca="1">IFERROR(__xludf.DUMMYFUNCTION("""COMPUTED_VALUE"""),"")</f>
        <v/>
      </c>
      <c r="D2246" s="189" t="str">
        <f ca="1">IFERROR(__xludf.DUMMYFUNCTION("""COMPUTED_VALUE"""),"")</f>
        <v/>
      </c>
      <c r="E2246" s="189" t="str">
        <f ca="1">IFERROR(__xludf.DUMMYFUNCTION("""COMPUTED_VALUE"""),"")</f>
        <v/>
      </c>
      <c r="F2246" s="189" t="str">
        <f ca="1">IFERROR(__xludf.DUMMYFUNCTION("""COMPUTED_VALUE"""),"")</f>
        <v/>
      </c>
      <c r="G2246" s="189" t="str">
        <f ca="1">IFERROR(__xludf.DUMMYFUNCTION("""COMPUTED_VALUE"""),"")</f>
        <v/>
      </c>
      <c r="H2246" s="196" t="s">
        <v>29</v>
      </c>
      <c r="I2246" s="196"/>
      <c r="J2246" s="196" t="s">
        <v>29</v>
      </c>
      <c r="K2246" s="196"/>
      <c r="L2246" s="196" t="str">
        <v/>
      </c>
      <c r="M2246" s="196"/>
    </row>
    <row r="2247" spans="1:13" ht="14.4" x14ac:dyDescent="0.3">
      <c r="A2247" s="189"/>
      <c r="B2247" s="197" t="str">
        <f ca="1">IFERROR(__xludf.DUMMYFUNCTION("""COMPUTED_VALUE"""),"")</f>
        <v/>
      </c>
      <c r="C2247" s="189" t="str">
        <f ca="1">IFERROR(__xludf.DUMMYFUNCTION("""COMPUTED_VALUE"""),"")</f>
        <v/>
      </c>
      <c r="D2247" s="189" t="str">
        <f ca="1">IFERROR(__xludf.DUMMYFUNCTION("""COMPUTED_VALUE"""),"")</f>
        <v/>
      </c>
      <c r="E2247" s="189" t="str">
        <f ca="1">IFERROR(__xludf.DUMMYFUNCTION("""COMPUTED_VALUE"""),"")</f>
        <v/>
      </c>
      <c r="F2247" s="189" t="str">
        <f ca="1">IFERROR(__xludf.DUMMYFUNCTION("""COMPUTED_VALUE"""),"")</f>
        <v/>
      </c>
      <c r="G2247" s="189" t="str">
        <f ca="1">IFERROR(__xludf.DUMMYFUNCTION("""COMPUTED_VALUE"""),"")</f>
        <v/>
      </c>
      <c r="H2247" s="196" t="s">
        <v>29</v>
      </c>
      <c r="I2247" s="196"/>
      <c r="J2247" s="196" t="s">
        <v>29</v>
      </c>
      <c r="K2247" s="196"/>
      <c r="L2247" s="196" t="str">
        <v/>
      </c>
      <c r="M2247" s="196"/>
    </row>
    <row r="2248" spans="1:13" ht="14.4" x14ac:dyDescent="0.3">
      <c r="A2248" s="189"/>
      <c r="B2248" s="197" t="str">
        <f ca="1">IFERROR(__xludf.DUMMYFUNCTION("""COMPUTED_VALUE"""),"")</f>
        <v/>
      </c>
      <c r="C2248" s="189" t="str">
        <f ca="1">IFERROR(__xludf.DUMMYFUNCTION("""COMPUTED_VALUE"""),"")</f>
        <v/>
      </c>
      <c r="D2248" s="189" t="str">
        <f ca="1">IFERROR(__xludf.DUMMYFUNCTION("""COMPUTED_VALUE"""),"")</f>
        <v/>
      </c>
      <c r="E2248" s="189" t="str">
        <f ca="1">IFERROR(__xludf.DUMMYFUNCTION("""COMPUTED_VALUE"""),"")</f>
        <v/>
      </c>
      <c r="F2248" s="189" t="str">
        <f ca="1">IFERROR(__xludf.DUMMYFUNCTION("""COMPUTED_VALUE"""),"")</f>
        <v/>
      </c>
      <c r="G2248" s="189" t="str">
        <f ca="1">IFERROR(__xludf.DUMMYFUNCTION("""COMPUTED_VALUE"""),"")</f>
        <v/>
      </c>
      <c r="H2248" s="196" t="s">
        <v>29</v>
      </c>
      <c r="I2248" s="196"/>
      <c r="J2248" s="196" t="s">
        <v>29</v>
      </c>
      <c r="K2248" s="196"/>
      <c r="L2248" s="196" t="str">
        <v/>
      </c>
      <c r="M2248" s="196"/>
    </row>
    <row r="2249" spans="1:13" ht="14.4" x14ac:dyDescent="0.3">
      <c r="A2249" s="189"/>
      <c r="B2249" s="197" t="str">
        <f ca="1">IFERROR(__xludf.DUMMYFUNCTION("""COMPUTED_VALUE"""),"")</f>
        <v/>
      </c>
      <c r="C2249" s="189" t="str">
        <f ca="1">IFERROR(__xludf.DUMMYFUNCTION("""COMPUTED_VALUE"""),"")</f>
        <v/>
      </c>
      <c r="D2249" s="189" t="str">
        <f ca="1">IFERROR(__xludf.DUMMYFUNCTION("""COMPUTED_VALUE"""),"")</f>
        <v/>
      </c>
      <c r="E2249" s="189" t="str">
        <f ca="1">IFERROR(__xludf.DUMMYFUNCTION("""COMPUTED_VALUE"""),"")</f>
        <v/>
      </c>
      <c r="F2249" s="189" t="str">
        <f ca="1">IFERROR(__xludf.DUMMYFUNCTION("""COMPUTED_VALUE"""),"")</f>
        <v/>
      </c>
      <c r="G2249" s="189" t="str">
        <f ca="1">IFERROR(__xludf.DUMMYFUNCTION("""COMPUTED_VALUE"""),"")</f>
        <v/>
      </c>
      <c r="H2249" s="196" t="s">
        <v>29</v>
      </c>
      <c r="I2249" s="196"/>
      <c r="J2249" s="196" t="s">
        <v>29</v>
      </c>
      <c r="K2249" s="196"/>
      <c r="L2249" s="196" t="str">
        <v/>
      </c>
      <c r="M2249" s="196"/>
    </row>
    <row r="2250" spans="1:13" ht="14.4" x14ac:dyDescent="0.3">
      <c r="A2250" s="189"/>
      <c r="B2250" s="197" t="str">
        <f ca="1">IFERROR(__xludf.DUMMYFUNCTION("""COMPUTED_VALUE"""),"")</f>
        <v/>
      </c>
      <c r="C2250" s="189" t="str">
        <f ca="1">IFERROR(__xludf.DUMMYFUNCTION("""COMPUTED_VALUE"""),"")</f>
        <v/>
      </c>
      <c r="D2250" s="189" t="str">
        <f ca="1">IFERROR(__xludf.DUMMYFUNCTION("""COMPUTED_VALUE"""),"")</f>
        <v/>
      </c>
      <c r="E2250" s="189" t="str">
        <f ca="1">IFERROR(__xludf.DUMMYFUNCTION("""COMPUTED_VALUE"""),"")</f>
        <v/>
      </c>
      <c r="F2250" s="189" t="str">
        <f ca="1">IFERROR(__xludf.DUMMYFUNCTION("""COMPUTED_VALUE"""),"")</f>
        <v/>
      </c>
      <c r="G2250" s="189" t="str">
        <f ca="1">IFERROR(__xludf.DUMMYFUNCTION("""COMPUTED_VALUE"""),"")</f>
        <v/>
      </c>
      <c r="H2250" s="196" t="s">
        <v>29</v>
      </c>
      <c r="I2250" s="196"/>
      <c r="J2250" s="196" t="s">
        <v>29</v>
      </c>
      <c r="K2250" s="196"/>
      <c r="L2250" s="196" t="str">
        <v/>
      </c>
      <c r="M2250" s="196"/>
    </row>
    <row r="2251" spans="1:13" ht="14.4" x14ac:dyDescent="0.3">
      <c r="A2251" s="189"/>
      <c r="B2251" s="197" t="str">
        <f ca="1">IFERROR(__xludf.DUMMYFUNCTION("""COMPUTED_VALUE"""),"")</f>
        <v/>
      </c>
      <c r="C2251" s="189" t="str">
        <f ca="1">IFERROR(__xludf.DUMMYFUNCTION("""COMPUTED_VALUE"""),"")</f>
        <v/>
      </c>
      <c r="D2251" s="189" t="str">
        <f ca="1">IFERROR(__xludf.DUMMYFUNCTION("""COMPUTED_VALUE"""),"")</f>
        <v/>
      </c>
      <c r="E2251" s="189" t="str">
        <f ca="1">IFERROR(__xludf.DUMMYFUNCTION("""COMPUTED_VALUE"""),"")</f>
        <v/>
      </c>
      <c r="F2251" s="189" t="str">
        <f ca="1">IFERROR(__xludf.DUMMYFUNCTION("""COMPUTED_VALUE"""),"")</f>
        <v/>
      </c>
      <c r="G2251" s="189" t="str">
        <f ca="1">IFERROR(__xludf.DUMMYFUNCTION("""COMPUTED_VALUE"""),"")</f>
        <v/>
      </c>
      <c r="H2251" s="196" t="s">
        <v>29</v>
      </c>
      <c r="I2251" s="196"/>
      <c r="J2251" s="196" t="s">
        <v>29</v>
      </c>
      <c r="K2251" s="196"/>
      <c r="L2251" s="196" t="str">
        <v/>
      </c>
      <c r="M2251" s="196"/>
    </row>
    <row r="2252" spans="1:13" ht="14.4" x14ac:dyDescent="0.3">
      <c r="A2252" s="189"/>
      <c r="B2252" s="197" t="str">
        <f ca="1">IFERROR(__xludf.DUMMYFUNCTION("""COMPUTED_VALUE"""),"")</f>
        <v/>
      </c>
      <c r="C2252" s="189" t="str">
        <f ca="1">IFERROR(__xludf.DUMMYFUNCTION("""COMPUTED_VALUE"""),"")</f>
        <v/>
      </c>
      <c r="D2252" s="189" t="str">
        <f ca="1">IFERROR(__xludf.DUMMYFUNCTION("""COMPUTED_VALUE"""),"")</f>
        <v/>
      </c>
      <c r="E2252" s="189" t="str">
        <f ca="1">IFERROR(__xludf.DUMMYFUNCTION("""COMPUTED_VALUE"""),"")</f>
        <v/>
      </c>
      <c r="F2252" s="189" t="str">
        <f ca="1">IFERROR(__xludf.DUMMYFUNCTION("""COMPUTED_VALUE"""),"")</f>
        <v/>
      </c>
      <c r="G2252" s="189" t="str">
        <f ca="1">IFERROR(__xludf.DUMMYFUNCTION("""COMPUTED_VALUE"""),"")</f>
        <v/>
      </c>
      <c r="H2252" s="196" t="s">
        <v>29</v>
      </c>
      <c r="I2252" s="196"/>
      <c r="J2252" s="196" t="s">
        <v>29</v>
      </c>
      <c r="K2252" s="196"/>
      <c r="L2252" s="196" t="str">
        <v/>
      </c>
      <c r="M2252" s="196"/>
    </row>
    <row r="2253" spans="1:13" ht="14.4" x14ac:dyDescent="0.3">
      <c r="A2253" s="189"/>
      <c r="B2253" s="197" t="str">
        <f ca="1">IFERROR(__xludf.DUMMYFUNCTION("""COMPUTED_VALUE"""),"")</f>
        <v/>
      </c>
      <c r="C2253" s="189" t="str">
        <f ca="1">IFERROR(__xludf.DUMMYFUNCTION("""COMPUTED_VALUE"""),"")</f>
        <v/>
      </c>
      <c r="D2253" s="189" t="str">
        <f ca="1">IFERROR(__xludf.DUMMYFUNCTION("""COMPUTED_VALUE"""),"")</f>
        <v/>
      </c>
      <c r="E2253" s="189" t="str">
        <f ca="1">IFERROR(__xludf.DUMMYFUNCTION("""COMPUTED_VALUE"""),"")</f>
        <v/>
      </c>
      <c r="F2253" s="189" t="str">
        <f ca="1">IFERROR(__xludf.DUMMYFUNCTION("""COMPUTED_VALUE"""),"")</f>
        <v/>
      </c>
      <c r="G2253" s="189" t="str">
        <f ca="1">IFERROR(__xludf.DUMMYFUNCTION("""COMPUTED_VALUE"""),"")</f>
        <v/>
      </c>
      <c r="H2253" s="196" t="s">
        <v>29</v>
      </c>
      <c r="I2253" s="196"/>
      <c r="J2253" s="196" t="s">
        <v>29</v>
      </c>
      <c r="K2253" s="196"/>
      <c r="L2253" s="196" t="str">
        <v/>
      </c>
      <c r="M2253" s="196"/>
    </row>
    <row r="2254" spans="1:13" ht="14.4" x14ac:dyDescent="0.3">
      <c r="A2254" s="189"/>
      <c r="B2254" s="197" t="str">
        <f ca="1">IFERROR(__xludf.DUMMYFUNCTION("""COMPUTED_VALUE"""),"")</f>
        <v/>
      </c>
      <c r="C2254" s="189" t="str">
        <f ca="1">IFERROR(__xludf.DUMMYFUNCTION("""COMPUTED_VALUE"""),"")</f>
        <v/>
      </c>
      <c r="D2254" s="189" t="str">
        <f ca="1">IFERROR(__xludf.DUMMYFUNCTION("""COMPUTED_VALUE"""),"")</f>
        <v/>
      </c>
      <c r="E2254" s="189" t="str">
        <f ca="1">IFERROR(__xludf.DUMMYFUNCTION("""COMPUTED_VALUE"""),"")</f>
        <v/>
      </c>
      <c r="F2254" s="189" t="str">
        <f ca="1">IFERROR(__xludf.DUMMYFUNCTION("""COMPUTED_VALUE"""),"")</f>
        <v/>
      </c>
      <c r="G2254" s="189" t="str">
        <f ca="1">IFERROR(__xludf.DUMMYFUNCTION("""COMPUTED_VALUE"""),"")</f>
        <v/>
      </c>
      <c r="H2254" s="196" t="s">
        <v>29</v>
      </c>
      <c r="I2254" s="196"/>
      <c r="J2254" s="196" t="s">
        <v>29</v>
      </c>
      <c r="K2254" s="196"/>
      <c r="L2254" s="196" t="str">
        <v/>
      </c>
      <c r="M2254" s="196"/>
    </row>
    <row r="2255" spans="1:13" ht="14.4" x14ac:dyDescent="0.3">
      <c r="A2255" s="189"/>
      <c r="B2255" s="197" t="str">
        <f ca="1">IFERROR(__xludf.DUMMYFUNCTION("""COMPUTED_VALUE"""),"")</f>
        <v/>
      </c>
      <c r="C2255" s="189" t="str">
        <f ca="1">IFERROR(__xludf.DUMMYFUNCTION("""COMPUTED_VALUE"""),"")</f>
        <v/>
      </c>
      <c r="D2255" s="189" t="str">
        <f ca="1">IFERROR(__xludf.DUMMYFUNCTION("""COMPUTED_VALUE"""),"")</f>
        <v/>
      </c>
      <c r="E2255" s="189" t="str">
        <f ca="1">IFERROR(__xludf.DUMMYFUNCTION("""COMPUTED_VALUE"""),"")</f>
        <v/>
      </c>
      <c r="F2255" s="189" t="str">
        <f ca="1">IFERROR(__xludf.DUMMYFUNCTION("""COMPUTED_VALUE"""),"")</f>
        <v/>
      </c>
      <c r="G2255" s="189" t="str">
        <f ca="1">IFERROR(__xludf.DUMMYFUNCTION("""COMPUTED_VALUE"""),"")</f>
        <v/>
      </c>
      <c r="H2255" s="196" t="s">
        <v>29</v>
      </c>
      <c r="I2255" s="196"/>
      <c r="J2255" s="196" t="s">
        <v>29</v>
      </c>
      <c r="K2255" s="196"/>
      <c r="L2255" s="196" t="str">
        <v/>
      </c>
      <c r="M2255" s="196"/>
    </row>
    <row r="2256" spans="1:13" ht="14.4" x14ac:dyDescent="0.3">
      <c r="A2256" s="189"/>
      <c r="B2256" s="197" t="str">
        <f ca="1">IFERROR(__xludf.DUMMYFUNCTION("""COMPUTED_VALUE"""),"")</f>
        <v/>
      </c>
      <c r="C2256" s="189" t="str">
        <f ca="1">IFERROR(__xludf.DUMMYFUNCTION("""COMPUTED_VALUE"""),"")</f>
        <v/>
      </c>
      <c r="D2256" s="189" t="str">
        <f ca="1">IFERROR(__xludf.DUMMYFUNCTION("""COMPUTED_VALUE"""),"")</f>
        <v/>
      </c>
      <c r="E2256" s="189" t="str">
        <f ca="1">IFERROR(__xludf.DUMMYFUNCTION("""COMPUTED_VALUE"""),"")</f>
        <v/>
      </c>
      <c r="F2256" s="189" t="str">
        <f ca="1">IFERROR(__xludf.DUMMYFUNCTION("""COMPUTED_VALUE"""),"")</f>
        <v/>
      </c>
      <c r="G2256" s="189" t="str">
        <f ca="1">IFERROR(__xludf.DUMMYFUNCTION("""COMPUTED_VALUE"""),"")</f>
        <v/>
      </c>
      <c r="H2256" s="196" t="s">
        <v>29</v>
      </c>
      <c r="I2256" s="196"/>
      <c r="J2256" s="196" t="s">
        <v>29</v>
      </c>
      <c r="K2256" s="196"/>
      <c r="L2256" s="196" t="str">
        <v/>
      </c>
      <c r="M2256" s="196"/>
    </row>
    <row r="2257" spans="1:13" ht="14.4" x14ac:dyDescent="0.3">
      <c r="A2257" s="189"/>
      <c r="B2257" s="197" t="str">
        <f ca="1">IFERROR(__xludf.DUMMYFUNCTION("""COMPUTED_VALUE"""),"")</f>
        <v/>
      </c>
      <c r="C2257" s="189" t="str">
        <f ca="1">IFERROR(__xludf.DUMMYFUNCTION("""COMPUTED_VALUE"""),"")</f>
        <v/>
      </c>
      <c r="D2257" s="189" t="str">
        <f ca="1">IFERROR(__xludf.DUMMYFUNCTION("""COMPUTED_VALUE"""),"")</f>
        <v/>
      </c>
      <c r="E2257" s="189" t="str">
        <f ca="1">IFERROR(__xludf.DUMMYFUNCTION("""COMPUTED_VALUE"""),"")</f>
        <v/>
      </c>
      <c r="F2257" s="189" t="str">
        <f ca="1">IFERROR(__xludf.DUMMYFUNCTION("""COMPUTED_VALUE"""),"")</f>
        <v/>
      </c>
      <c r="G2257" s="189" t="str">
        <f ca="1">IFERROR(__xludf.DUMMYFUNCTION("""COMPUTED_VALUE"""),"")</f>
        <v/>
      </c>
      <c r="H2257" s="196" t="s">
        <v>29</v>
      </c>
      <c r="I2257" s="196"/>
      <c r="J2257" s="196" t="s">
        <v>29</v>
      </c>
      <c r="K2257" s="196"/>
      <c r="L2257" s="196" t="str">
        <v/>
      </c>
      <c r="M2257" s="196"/>
    </row>
    <row r="2258" spans="1:13" ht="14.4" x14ac:dyDescent="0.3">
      <c r="A2258" s="189"/>
      <c r="B2258" s="197" t="str">
        <f ca="1">IFERROR(__xludf.DUMMYFUNCTION("""COMPUTED_VALUE"""),"")</f>
        <v/>
      </c>
      <c r="C2258" s="189" t="str">
        <f ca="1">IFERROR(__xludf.DUMMYFUNCTION("""COMPUTED_VALUE"""),"")</f>
        <v/>
      </c>
      <c r="D2258" s="189" t="str">
        <f ca="1">IFERROR(__xludf.DUMMYFUNCTION("""COMPUTED_VALUE"""),"")</f>
        <v/>
      </c>
      <c r="E2258" s="189" t="str">
        <f ca="1">IFERROR(__xludf.DUMMYFUNCTION("""COMPUTED_VALUE"""),"")</f>
        <v/>
      </c>
      <c r="F2258" s="189" t="str">
        <f ca="1">IFERROR(__xludf.DUMMYFUNCTION("""COMPUTED_VALUE"""),"")</f>
        <v/>
      </c>
      <c r="G2258" s="189" t="str">
        <f ca="1">IFERROR(__xludf.DUMMYFUNCTION("""COMPUTED_VALUE"""),"")</f>
        <v/>
      </c>
      <c r="H2258" s="196" t="s">
        <v>29</v>
      </c>
      <c r="I2258" s="196"/>
      <c r="J2258" s="196" t="s">
        <v>29</v>
      </c>
      <c r="K2258" s="196"/>
      <c r="L2258" s="196" t="str">
        <v/>
      </c>
      <c r="M2258" s="196"/>
    </row>
    <row r="2259" spans="1:13" ht="14.4" x14ac:dyDescent="0.3">
      <c r="A2259" s="189"/>
      <c r="B2259" s="197" t="str">
        <f ca="1">IFERROR(__xludf.DUMMYFUNCTION("""COMPUTED_VALUE"""),"")</f>
        <v/>
      </c>
      <c r="C2259" s="189" t="str">
        <f ca="1">IFERROR(__xludf.DUMMYFUNCTION("""COMPUTED_VALUE"""),"")</f>
        <v/>
      </c>
      <c r="D2259" s="189" t="str">
        <f ca="1">IFERROR(__xludf.DUMMYFUNCTION("""COMPUTED_VALUE"""),"")</f>
        <v/>
      </c>
      <c r="E2259" s="189" t="str">
        <f ca="1">IFERROR(__xludf.DUMMYFUNCTION("""COMPUTED_VALUE"""),"")</f>
        <v/>
      </c>
      <c r="F2259" s="189" t="str">
        <f ca="1">IFERROR(__xludf.DUMMYFUNCTION("""COMPUTED_VALUE"""),"")</f>
        <v/>
      </c>
      <c r="G2259" s="189" t="str">
        <f ca="1">IFERROR(__xludf.DUMMYFUNCTION("""COMPUTED_VALUE"""),"")</f>
        <v/>
      </c>
      <c r="H2259" s="196" t="s">
        <v>29</v>
      </c>
      <c r="I2259" s="196"/>
      <c r="J2259" s="196" t="s">
        <v>29</v>
      </c>
      <c r="K2259" s="196"/>
      <c r="L2259" s="196" t="str">
        <v/>
      </c>
      <c r="M2259" s="196"/>
    </row>
    <row r="2260" spans="1:13" ht="14.4" x14ac:dyDescent="0.3">
      <c r="A2260" s="189"/>
      <c r="B2260" s="197" t="str">
        <f ca="1">IFERROR(__xludf.DUMMYFUNCTION("""COMPUTED_VALUE"""),"")</f>
        <v/>
      </c>
      <c r="C2260" s="189" t="str">
        <f ca="1">IFERROR(__xludf.DUMMYFUNCTION("""COMPUTED_VALUE"""),"")</f>
        <v/>
      </c>
      <c r="D2260" s="189" t="str">
        <f ca="1">IFERROR(__xludf.DUMMYFUNCTION("""COMPUTED_VALUE"""),"")</f>
        <v/>
      </c>
      <c r="E2260" s="189" t="str">
        <f ca="1">IFERROR(__xludf.DUMMYFUNCTION("""COMPUTED_VALUE"""),"")</f>
        <v/>
      </c>
      <c r="F2260" s="189" t="str">
        <f ca="1">IFERROR(__xludf.DUMMYFUNCTION("""COMPUTED_VALUE"""),"")</f>
        <v/>
      </c>
      <c r="G2260" s="189" t="str">
        <f ca="1">IFERROR(__xludf.DUMMYFUNCTION("""COMPUTED_VALUE"""),"")</f>
        <v/>
      </c>
      <c r="H2260" s="196" t="s">
        <v>29</v>
      </c>
      <c r="I2260" s="196"/>
      <c r="J2260" s="196" t="s">
        <v>29</v>
      </c>
      <c r="K2260" s="196"/>
      <c r="L2260" s="196" t="str">
        <v/>
      </c>
      <c r="M2260" s="196"/>
    </row>
    <row r="2261" spans="1:13" ht="14.4" x14ac:dyDescent="0.3">
      <c r="A2261" s="189"/>
      <c r="B2261" s="197" t="str">
        <f ca="1">IFERROR(__xludf.DUMMYFUNCTION("""COMPUTED_VALUE"""),"")</f>
        <v/>
      </c>
      <c r="C2261" s="189" t="str">
        <f ca="1">IFERROR(__xludf.DUMMYFUNCTION("""COMPUTED_VALUE"""),"")</f>
        <v/>
      </c>
      <c r="D2261" s="189" t="str">
        <f ca="1">IFERROR(__xludf.DUMMYFUNCTION("""COMPUTED_VALUE"""),"")</f>
        <v/>
      </c>
      <c r="E2261" s="189" t="str">
        <f ca="1">IFERROR(__xludf.DUMMYFUNCTION("""COMPUTED_VALUE"""),"")</f>
        <v/>
      </c>
      <c r="F2261" s="189" t="str">
        <f ca="1">IFERROR(__xludf.DUMMYFUNCTION("""COMPUTED_VALUE"""),"")</f>
        <v/>
      </c>
      <c r="G2261" s="189" t="str">
        <f ca="1">IFERROR(__xludf.DUMMYFUNCTION("""COMPUTED_VALUE"""),"")</f>
        <v/>
      </c>
      <c r="H2261" s="196" t="s">
        <v>29</v>
      </c>
      <c r="I2261" s="196"/>
      <c r="J2261" s="196" t="s">
        <v>29</v>
      </c>
      <c r="K2261" s="196"/>
      <c r="L2261" s="196" t="str">
        <v/>
      </c>
      <c r="M2261" s="196"/>
    </row>
    <row r="2262" spans="1:13" ht="14.4" x14ac:dyDescent="0.3">
      <c r="A2262" s="189"/>
      <c r="B2262" s="197" t="str">
        <f ca="1">IFERROR(__xludf.DUMMYFUNCTION("""COMPUTED_VALUE"""),"")</f>
        <v/>
      </c>
      <c r="C2262" s="189" t="str">
        <f ca="1">IFERROR(__xludf.DUMMYFUNCTION("""COMPUTED_VALUE"""),"")</f>
        <v/>
      </c>
      <c r="D2262" s="189" t="str">
        <f ca="1">IFERROR(__xludf.DUMMYFUNCTION("""COMPUTED_VALUE"""),"")</f>
        <v/>
      </c>
      <c r="E2262" s="189" t="str">
        <f ca="1">IFERROR(__xludf.DUMMYFUNCTION("""COMPUTED_VALUE"""),"")</f>
        <v/>
      </c>
      <c r="F2262" s="189" t="str">
        <f ca="1">IFERROR(__xludf.DUMMYFUNCTION("""COMPUTED_VALUE"""),"")</f>
        <v/>
      </c>
      <c r="G2262" s="189" t="str">
        <f ca="1">IFERROR(__xludf.DUMMYFUNCTION("""COMPUTED_VALUE"""),"")</f>
        <v/>
      </c>
      <c r="H2262" s="196" t="s">
        <v>29</v>
      </c>
      <c r="I2262" s="196"/>
      <c r="J2262" s="196" t="s">
        <v>29</v>
      </c>
      <c r="K2262" s="196"/>
      <c r="L2262" s="196" t="str">
        <v/>
      </c>
      <c r="M2262" s="196"/>
    </row>
    <row r="2263" spans="1:13" ht="14.4" x14ac:dyDescent="0.3">
      <c r="A2263" s="189"/>
      <c r="B2263" s="197" t="str">
        <f ca="1">IFERROR(__xludf.DUMMYFUNCTION("""COMPUTED_VALUE"""),"")</f>
        <v/>
      </c>
      <c r="C2263" s="189" t="str">
        <f ca="1">IFERROR(__xludf.DUMMYFUNCTION("""COMPUTED_VALUE"""),"")</f>
        <v/>
      </c>
      <c r="D2263" s="189" t="str">
        <f ca="1">IFERROR(__xludf.DUMMYFUNCTION("""COMPUTED_VALUE"""),"")</f>
        <v/>
      </c>
      <c r="E2263" s="189" t="str">
        <f ca="1">IFERROR(__xludf.DUMMYFUNCTION("""COMPUTED_VALUE"""),"")</f>
        <v/>
      </c>
      <c r="F2263" s="189" t="str">
        <f ca="1">IFERROR(__xludf.DUMMYFUNCTION("""COMPUTED_VALUE"""),"")</f>
        <v/>
      </c>
      <c r="G2263" s="189" t="str">
        <f ca="1">IFERROR(__xludf.DUMMYFUNCTION("""COMPUTED_VALUE"""),"")</f>
        <v/>
      </c>
      <c r="H2263" s="196" t="s">
        <v>29</v>
      </c>
      <c r="I2263" s="196"/>
      <c r="J2263" s="196" t="s">
        <v>29</v>
      </c>
      <c r="K2263" s="196"/>
      <c r="L2263" s="196" t="str">
        <v/>
      </c>
      <c r="M2263" s="196"/>
    </row>
    <row r="2264" spans="1:13" ht="14.4" x14ac:dyDescent="0.3">
      <c r="A2264" s="189"/>
      <c r="B2264" s="197" t="str">
        <f ca="1">IFERROR(__xludf.DUMMYFUNCTION("""COMPUTED_VALUE"""),"")</f>
        <v/>
      </c>
      <c r="C2264" s="189" t="str">
        <f ca="1">IFERROR(__xludf.DUMMYFUNCTION("""COMPUTED_VALUE"""),"")</f>
        <v/>
      </c>
      <c r="D2264" s="189" t="str">
        <f ca="1">IFERROR(__xludf.DUMMYFUNCTION("""COMPUTED_VALUE"""),"")</f>
        <v/>
      </c>
      <c r="E2264" s="189" t="str">
        <f ca="1">IFERROR(__xludf.DUMMYFUNCTION("""COMPUTED_VALUE"""),"")</f>
        <v/>
      </c>
      <c r="F2264" s="189" t="str">
        <f ca="1">IFERROR(__xludf.DUMMYFUNCTION("""COMPUTED_VALUE"""),"")</f>
        <v/>
      </c>
      <c r="G2264" s="189" t="str">
        <f ca="1">IFERROR(__xludf.DUMMYFUNCTION("""COMPUTED_VALUE"""),"")</f>
        <v/>
      </c>
      <c r="H2264" s="196" t="s">
        <v>29</v>
      </c>
      <c r="I2264" s="196"/>
      <c r="J2264" s="196" t="s">
        <v>29</v>
      </c>
      <c r="K2264" s="196"/>
      <c r="L2264" s="196" t="str">
        <v/>
      </c>
      <c r="M2264" s="196"/>
    </row>
    <row r="2265" spans="1:13" ht="14.4" x14ac:dyDescent="0.3">
      <c r="A2265" s="189"/>
      <c r="B2265" s="197" t="str">
        <f ca="1">IFERROR(__xludf.DUMMYFUNCTION("""COMPUTED_VALUE"""),"")</f>
        <v/>
      </c>
      <c r="C2265" s="189" t="str">
        <f ca="1">IFERROR(__xludf.DUMMYFUNCTION("""COMPUTED_VALUE"""),"")</f>
        <v/>
      </c>
      <c r="D2265" s="189" t="str">
        <f ca="1">IFERROR(__xludf.DUMMYFUNCTION("""COMPUTED_VALUE"""),"")</f>
        <v/>
      </c>
      <c r="E2265" s="189" t="str">
        <f ca="1">IFERROR(__xludf.DUMMYFUNCTION("""COMPUTED_VALUE"""),"")</f>
        <v/>
      </c>
      <c r="F2265" s="189" t="str">
        <f ca="1">IFERROR(__xludf.DUMMYFUNCTION("""COMPUTED_VALUE"""),"")</f>
        <v/>
      </c>
      <c r="G2265" s="189" t="str">
        <f ca="1">IFERROR(__xludf.DUMMYFUNCTION("""COMPUTED_VALUE"""),"")</f>
        <v/>
      </c>
      <c r="H2265" s="196" t="s">
        <v>29</v>
      </c>
      <c r="I2265" s="196"/>
      <c r="J2265" s="196" t="s">
        <v>29</v>
      </c>
      <c r="K2265" s="196"/>
      <c r="L2265" s="196" t="str">
        <v/>
      </c>
      <c r="M2265" s="196"/>
    </row>
    <row r="2266" spans="1:13" ht="14.4" x14ac:dyDescent="0.3">
      <c r="A2266" s="189"/>
      <c r="B2266" s="197" t="str">
        <f ca="1">IFERROR(__xludf.DUMMYFUNCTION("""COMPUTED_VALUE"""),"")</f>
        <v/>
      </c>
      <c r="C2266" s="189" t="str">
        <f ca="1">IFERROR(__xludf.DUMMYFUNCTION("""COMPUTED_VALUE"""),"")</f>
        <v/>
      </c>
      <c r="D2266" s="189" t="str">
        <f ca="1">IFERROR(__xludf.DUMMYFUNCTION("""COMPUTED_VALUE"""),"")</f>
        <v/>
      </c>
      <c r="E2266" s="189" t="str">
        <f ca="1">IFERROR(__xludf.DUMMYFUNCTION("""COMPUTED_VALUE"""),"")</f>
        <v/>
      </c>
      <c r="F2266" s="189" t="str">
        <f ca="1">IFERROR(__xludf.DUMMYFUNCTION("""COMPUTED_VALUE"""),"")</f>
        <v/>
      </c>
      <c r="G2266" s="189" t="str">
        <f ca="1">IFERROR(__xludf.DUMMYFUNCTION("""COMPUTED_VALUE"""),"")</f>
        <v/>
      </c>
      <c r="H2266" s="196" t="s">
        <v>29</v>
      </c>
      <c r="I2266" s="196"/>
      <c r="J2266" s="196" t="s">
        <v>29</v>
      </c>
      <c r="K2266" s="196"/>
      <c r="L2266" s="196" t="str">
        <v/>
      </c>
      <c r="M2266" s="196"/>
    </row>
    <row r="2267" spans="1:13" ht="14.4" x14ac:dyDescent="0.3">
      <c r="A2267" s="189"/>
      <c r="B2267" s="197" t="str">
        <f ca="1">IFERROR(__xludf.DUMMYFUNCTION("""COMPUTED_VALUE"""),"")</f>
        <v/>
      </c>
      <c r="C2267" s="189" t="str">
        <f ca="1">IFERROR(__xludf.DUMMYFUNCTION("""COMPUTED_VALUE"""),"")</f>
        <v/>
      </c>
      <c r="D2267" s="189" t="str">
        <f ca="1">IFERROR(__xludf.DUMMYFUNCTION("""COMPUTED_VALUE"""),"")</f>
        <v/>
      </c>
      <c r="E2267" s="189" t="str">
        <f ca="1">IFERROR(__xludf.DUMMYFUNCTION("""COMPUTED_VALUE"""),"")</f>
        <v/>
      </c>
      <c r="F2267" s="189" t="str">
        <f ca="1">IFERROR(__xludf.DUMMYFUNCTION("""COMPUTED_VALUE"""),"")</f>
        <v/>
      </c>
      <c r="G2267" s="189" t="str">
        <f ca="1">IFERROR(__xludf.DUMMYFUNCTION("""COMPUTED_VALUE"""),"")</f>
        <v/>
      </c>
      <c r="H2267" s="196" t="s">
        <v>29</v>
      </c>
      <c r="I2267" s="196"/>
      <c r="J2267" s="196" t="s">
        <v>29</v>
      </c>
      <c r="K2267" s="196"/>
      <c r="L2267" s="196" t="str">
        <v/>
      </c>
      <c r="M2267" s="196"/>
    </row>
    <row r="2268" spans="1:13" ht="14.4" x14ac:dyDescent="0.3">
      <c r="A2268" s="189"/>
      <c r="B2268" s="197" t="str">
        <f ca="1">IFERROR(__xludf.DUMMYFUNCTION("""COMPUTED_VALUE"""),"")</f>
        <v/>
      </c>
      <c r="C2268" s="189" t="str">
        <f ca="1">IFERROR(__xludf.DUMMYFUNCTION("""COMPUTED_VALUE"""),"")</f>
        <v/>
      </c>
      <c r="D2268" s="189" t="str">
        <f ca="1">IFERROR(__xludf.DUMMYFUNCTION("""COMPUTED_VALUE"""),"")</f>
        <v/>
      </c>
      <c r="E2268" s="189" t="str">
        <f ca="1">IFERROR(__xludf.DUMMYFUNCTION("""COMPUTED_VALUE"""),"")</f>
        <v/>
      </c>
      <c r="F2268" s="189" t="str">
        <f ca="1">IFERROR(__xludf.DUMMYFUNCTION("""COMPUTED_VALUE"""),"")</f>
        <v/>
      </c>
      <c r="G2268" s="189" t="str">
        <f ca="1">IFERROR(__xludf.DUMMYFUNCTION("""COMPUTED_VALUE"""),"")</f>
        <v/>
      </c>
      <c r="H2268" s="196" t="s">
        <v>29</v>
      </c>
      <c r="I2268" s="196"/>
      <c r="J2268" s="196" t="s">
        <v>29</v>
      </c>
      <c r="K2268" s="196"/>
      <c r="L2268" s="196" t="str">
        <v/>
      </c>
      <c r="M2268" s="196"/>
    </row>
    <row r="2269" spans="1:13" ht="14.4" x14ac:dyDescent="0.3">
      <c r="A2269" s="189"/>
      <c r="B2269" s="197" t="str">
        <f ca="1">IFERROR(__xludf.DUMMYFUNCTION("""COMPUTED_VALUE"""),"")</f>
        <v/>
      </c>
      <c r="C2269" s="189" t="str">
        <f ca="1">IFERROR(__xludf.DUMMYFUNCTION("""COMPUTED_VALUE"""),"")</f>
        <v/>
      </c>
      <c r="D2269" s="189" t="str">
        <f ca="1">IFERROR(__xludf.DUMMYFUNCTION("""COMPUTED_VALUE"""),"")</f>
        <v/>
      </c>
      <c r="E2269" s="189" t="str">
        <f ca="1">IFERROR(__xludf.DUMMYFUNCTION("""COMPUTED_VALUE"""),"")</f>
        <v/>
      </c>
      <c r="F2269" s="189" t="str">
        <f ca="1">IFERROR(__xludf.DUMMYFUNCTION("""COMPUTED_VALUE"""),"")</f>
        <v/>
      </c>
      <c r="G2269" s="189" t="str">
        <f ca="1">IFERROR(__xludf.DUMMYFUNCTION("""COMPUTED_VALUE"""),"")</f>
        <v/>
      </c>
      <c r="H2269" s="196" t="s">
        <v>29</v>
      </c>
      <c r="I2269" s="196"/>
      <c r="J2269" s="196" t="s">
        <v>29</v>
      </c>
      <c r="K2269" s="196"/>
      <c r="L2269" s="196" t="str">
        <v/>
      </c>
      <c r="M2269" s="196"/>
    </row>
    <row r="2270" spans="1:13" ht="14.4" x14ac:dyDescent="0.3">
      <c r="A2270" s="189"/>
      <c r="B2270" s="197" t="str">
        <f ca="1">IFERROR(__xludf.DUMMYFUNCTION("""COMPUTED_VALUE"""),"")</f>
        <v/>
      </c>
      <c r="C2270" s="189" t="str">
        <f ca="1">IFERROR(__xludf.DUMMYFUNCTION("""COMPUTED_VALUE"""),"")</f>
        <v/>
      </c>
      <c r="D2270" s="189" t="str">
        <f ca="1">IFERROR(__xludf.DUMMYFUNCTION("""COMPUTED_VALUE"""),"")</f>
        <v/>
      </c>
      <c r="E2270" s="189" t="str">
        <f ca="1">IFERROR(__xludf.DUMMYFUNCTION("""COMPUTED_VALUE"""),"")</f>
        <v/>
      </c>
      <c r="F2270" s="189" t="str">
        <f ca="1">IFERROR(__xludf.DUMMYFUNCTION("""COMPUTED_VALUE"""),"")</f>
        <v/>
      </c>
      <c r="G2270" s="189" t="str">
        <f ca="1">IFERROR(__xludf.DUMMYFUNCTION("""COMPUTED_VALUE"""),"")</f>
        <v/>
      </c>
      <c r="H2270" s="196" t="s">
        <v>29</v>
      </c>
      <c r="I2270" s="196"/>
      <c r="J2270" s="196" t="s">
        <v>29</v>
      </c>
      <c r="K2270" s="196"/>
      <c r="L2270" s="196" t="str">
        <v/>
      </c>
      <c r="M2270" s="196"/>
    </row>
    <row r="2271" spans="1:13" ht="14.4" x14ac:dyDescent="0.3">
      <c r="A2271" s="189"/>
      <c r="B2271" s="197" t="str">
        <f ca="1">IFERROR(__xludf.DUMMYFUNCTION("""COMPUTED_VALUE"""),"")</f>
        <v/>
      </c>
      <c r="C2271" s="189" t="str">
        <f ca="1">IFERROR(__xludf.DUMMYFUNCTION("""COMPUTED_VALUE"""),"")</f>
        <v/>
      </c>
      <c r="D2271" s="189" t="str">
        <f ca="1">IFERROR(__xludf.DUMMYFUNCTION("""COMPUTED_VALUE"""),"")</f>
        <v/>
      </c>
      <c r="E2271" s="189" t="str">
        <f ca="1">IFERROR(__xludf.DUMMYFUNCTION("""COMPUTED_VALUE"""),"")</f>
        <v/>
      </c>
      <c r="F2271" s="189" t="str">
        <f ca="1">IFERROR(__xludf.DUMMYFUNCTION("""COMPUTED_VALUE"""),"")</f>
        <v/>
      </c>
      <c r="G2271" s="189" t="str">
        <f ca="1">IFERROR(__xludf.DUMMYFUNCTION("""COMPUTED_VALUE"""),"")</f>
        <v/>
      </c>
      <c r="H2271" s="196" t="s">
        <v>29</v>
      </c>
      <c r="I2271" s="196"/>
      <c r="J2271" s="196" t="s">
        <v>29</v>
      </c>
      <c r="K2271" s="196"/>
      <c r="L2271" s="196" t="str">
        <v/>
      </c>
      <c r="M2271" s="196"/>
    </row>
    <row r="2272" spans="1:13" ht="14.4" x14ac:dyDescent="0.3">
      <c r="A2272" s="189"/>
      <c r="B2272" s="197" t="str">
        <f ca="1">IFERROR(__xludf.DUMMYFUNCTION("""COMPUTED_VALUE"""),"")</f>
        <v/>
      </c>
      <c r="C2272" s="189" t="str">
        <f ca="1">IFERROR(__xludf.DUMMYFUNCTION("""COMPUTED_VALUE"""),"")</f>
        <v/>
      </c>
      <c r="D2272" s="189" t="str">
        <f ca="1">IFERROR(__xludf.DUMMYFUNCTION("""COMPUTED_VALUE"""),"")</f>
        <v/>
      </c>
      <c r="E2272" s="189" t="str">
        <f ca="1">IFERROR(__xludf.DUMMYFUNCTION("""COMPUTED_VALUE"""),"")</f>
        <v/>
      </c>
      <c r="F2272" s="189" t="str">
        <f ca="1">IFERROR(__xludf.DUMMYFUNCTION("""COMPUTED_VALUE"""),"")</f>
        <v/>
      </c>
      <c r="G2272" s="189" t="str">
        <f ca="1">IFERROR(__xludf.DUMMYFUNCTION("""COMPUTED_VALUE"""),"")</f>
        <v/>
      </c>
      <c r="H2272" s="196" t="s">
        <v>29</v>
      </c>
      <c r="I2272" s="196"/>
      <c r="J2272" s="196" t="s">
        <v>29</v>
      </c>
      <c r="K2272" s="196"/>
      <c r="L2272" s="196" t="str">
        <v/>
      </c>
      <c r="M2272" s="196"/>
    </row>
    <row r="2273" spans="1:13" ht="14.4" x14ac:dyDescent="0.3">
      <c r="A2273" s="189"/>
      <c r="B2273" s="197" t="str">
        <f ca="1">IFERROR(__xludf.DUMMYFUNCTION("""COMPUTED_VALUE"""),"")</f>
        <v/>
      </c>
      <c r="C2273" s="189" t="str">
        <f ca="1">IFERROR(__xludf.DUMMYFUNCTION("""COMPUTED_VALUE"""),"")</f>
        <v/>
      </c>
      <c r="D2273" s="189" t="str">
        <f ca="1">IFERROR(__xludf.DUMMYFUNCTION("""COMPUTED_VALUE"""),"")</f>
        <v/>
      </c>
      <c r="E2273" s="189" t="str">
        <f ca="1">IFERROR(__xludf.DUMMYFUNCTION("""COMPUTED_VALUE"""),"")</f>
        <v/>
      </c>
      <c r="F2273" s="189" t="str">
        <f ca="1">IFERROR(__xludf.DUMMYFUNCTION("""COMPUTED_VALUE"""),"")</f>
        <v/>
      </c>
      <c r="G2273" s="189" t="str">
        <f ca="1">IFERROR(__xludf.DUMMYFUNCTION("""COMPUTED_VALUE"""),"")</f>
        <v/>
      </c>
      <c r="H2273" s="196" t="s">
        <v>29</v>
      </c>
      <c r="I2273" s="196"/>
      <c r="J2273" s="196" t="s">
        <v>29</v>
      </c>
      <c r="K2273" s="196"/>
      <c r="L2273" s="196" t="str">
        <v/>
      </c>
      <c r="M2273" s="196"/>
    </row>
    <row r="2274" spans="1:13" ht="14.4" x14ac:dyDescent="0.3">
      <c r="A2274" s="189"/>
      <c r="B2274" s="197" t="str">
        <f ca="1">IFERROR(__xludf.DUMMYFUNCTION("""COMPUTED_VALUE"""),"")</f>
        <v/>
      </c>
      <c r="C2274" s="189" t="str">
        <f ca="1">IFERROR(__xludf.DUMMYFUNCTION("""COMPUTED_VALUE"""),"")</f>
        <v/>
      </c>
      <c r="D2274" s="189" t="str">
        <f ca="1">IFERROR(__xludf.DUMMYFUNCTION("""COMPUTED_VALUE"""),"")</f>
        <v/>
      </c>
      <c r="E2274" s="189" t="str">
        <f ca="1">IFERROR(__xludf.DUMMYFUNCTION("""COMPUTED_VALUE"""),"")</f>
        <v/>
      </c>
      <c r="F2274" s="189" t="str">
        <f ca="1">IFERROR(__xludf.DUMMYFUNCTION("""COMPUTED_VALUE"""),"")</f>
        <v/>
      </c>
      <c r="G2274" s="189" t="str">
        <f ca="1">IFERROR(__xludf.DUMMYFUNCTION("""COMPUTED_VALUE"""),"")</f>
        <v/>
      </c>
      <c r="H2274" s="196" t="s">
        <v>29</v>
      </c>
      <c r="I2274" s="196"/>
      <c r="J2274" s="196" t="s">
        <v>29</v>
      </c>
      <c r="K2274" s="196"/>
      <c r="L2274" s="196" t="str">
        <v/>
      </c>
      <c r="M2274" s="196"/>
    </row>
    <row r="2275" spans="1:13" ht="14.4" x14ac:dyDescent="0.3">
      <c r="A2275" s="189"/>
      <c r="B2275" s="197" t="str">
        <f ca="1">IFERROR(__xludf.DUMMYFUNCTION("""COMPUTED_VALUE"""),"")</f>
        <v/>
      </c>
      <c r="C2275" s="189" t="str">
        <f ca="1">IFERROR(__xludf.DUMMYFUNCTION("""COMPUTED_VALUE"""),"")</f>
        <v/>
      </c>
      <c r="D2275" s="189" t="str">
        <f ca="1">IFERROR(__xludf.DUMMYFUNCTION("""COMPUTED_VALUE"""),"")</f>
        <v/>
      </c>
      <c r="E2275" s="189" t="str">
        <f ca="1">IFERROR(__xludf.DUMMYFUNCTION("""COMPUTED_VALUE"""),"")</f>
        <v/>
      </c>
      <c r="F2275" s="189" t="str">
        <f ca="1">IFERROR(__xludf.DUMMYFUNCTION("""COMPUTED_VALUE"""),"")</f>
        <v/>
      </c>
      <c r="G2275" s="189" t="str">
        <f ca="1">IFERROR(__xludf.DUMMYFUNCTION("""COMPUTED_VALUE"""),"")</f>
        <v/>
      </c>
      <c r="H2275" s="196" t="s">
        <v>29</v>
      </c>
      <c r="I2275" s="196"/>
      <c r="J2275" s="196" t="s">
        <v>29</v>
      </c>
      <c r="K2275" s="196"/>
      <c r="L2275" s="196" t="str">
        <v/>
      </c>
      <c r="M2275" s="196"/>
    </row>
    <row r="2276" spans="1:13" ht="14.4" x14ac:dyDescent="0.3">
      <c r="A2276" s="189"/>
      <c r="B2276" s="197" t="str">
        <f ca="1">IFERROR(__xludf.DUMMYFUNCTION("""COMPUTED_VALUE"""),"")</f>
        <v/>
      </c>
      <c r="C2276" s="189" t="str">
        <f ca="1">IFERROR(__xludf.DUMMYFUNCTION("""COMPUTED_VALUE"""),"")</f>
        <v/>
      </c>
      <c r="D2276" s="189" t="str">
        <f ca="1">IFERROR(__xludf.DUMMYFUNCTION("""COMPUTED_VALUE"""),"")</f>
        <v/>
      </c>
      <c r="E2276" s="189" t="str">
        <f ca="1">IFERROR(__xludf.DUMMYFUNCTION("""COMPUTED_VALUE"""),"")</f>
        <v/>
      </c>
      <c r="F2276" s="189" t="str">
        <f ca="1">IFERROR(__xludf.DUMMYFUNCTION("""COMPUTED_VALUE"""),"")</f>
        <v/>
      </c>
      <c r="G2276" s="189" t="str">
        <f ca="1">IFERROR(__xludf.DUMMYFUNCTION("""COMPUTED_VALUE"""),"")</f>
        <v/>
      </c>
      <c r="H2276" s="196" t="s">
        <v>29</v>
      </c>
      <c r="I2276" s="196"/>
      <c r="J2276" s="196" t="s">
        <v>29</v>
      </c>
      <c r="K2276" s="196"/>
      <c r="L2276" s="196" t="str">
        <v/>
      </c>
      <c r="M2276" s="196"/>
    </row>
    <row r="2277" spans="1:13" ht="14.4" x14ac:dyDescent="0.3">
      <c r="A2277" s="189"/>
      <c r="B2277" s="197" t="str">
        <f ca="1">IFERROR(__xludf.DUMMYFUNCTION("""COMPUTED_VALUE"""),"")</f>
        <v/>
      </c>
      <c r="C2277" s="189" t="str">
        <f ca="1">IFERROR(__xludf.DUMMYFUNCTION("""COMPUTED_VALUE"""),"")</f>
        <v/>
      </c>
      <c r="D2277" s="189" t="str">
        <f ca="1">IFERROR(__xludf.DUMMYFUNCTION("""COMPUTED_VALUE"""),"")</f>
        <v/>
      </c>
      <c r="E2277" s="189" t="str">
        <f ca="1">IFERROR(__xludf.DUMMYFUNCTION("""COMPUTED_VALUE"""),"")</f>
        <v/>
      </c>
      <c r="F2277" s="189" t="str">
        <f ca="1">IFERROR(__xludf.DUMMYFUNCTION("""COMPUTED_VALUE"""),"")</f>
        <v/>
      </c>
      <c r="G2277" s="189" t="str">
        <f ca="1">IFERROR(__xludf.DUMMYFUNCTION("""COMPUTED_VALUE"""),"")</f>
        <v/>
      </c>
      <c r="H2277" s="196" t="s">
        <v>29</v>
      </c>
      <c r="I2277" s="196"/>
      <c r="J2277" s="196" t="s">
        <v>29</v>
      </c>
      <c r="K2277" s="196"/>
      <c r="L2277" s="196" t="str">
        <v/>
      </c>
      <c r="M2277" s="196"/>
    </row>
    <row r="2278" spans="1:13" ht="14.4" x14ac:dyDescent="0.3">
      <c r="A2278" s="189"/>
      <c r="B2278" s="197" t="str">
        <f ca="1">IFERROR(__xludf.DUMMYFUNCTION("""COMPUTED_VALUE"""),"")</f>
        <v/>
      </c>
      <c r="C2278" s="189" t="str">
        <f ca="1">IFERROR(__xludf.DUMMYFUNCTION("""COMPUTED_VALUE"""),"")</f>
        <v/>
      </c>
      <c r="D2278" s="189" t="str">
        <f ca="1">IFERROR(__xludf.DUMMYFUNCTION("""COMPUTED_VALUE"""),"")</f>
        <v/>
      </c>
      <c r="E2278" s="189" t="str">
        <f ca="1">IFERROR(__xludf.DUMMYFUNCTION("""COMPUTED_VALUE"""),"")</f>
        <v/>
      </c>
      <c r="F2278" s="189" t="str">
        <f ca="1">IFERROR(__xludf.DUMMYFUNCTION("""COMPUTED_VALUE"""),"")</f>
        <v/>
      </c>
      <c r="G2278" s="189" t="str">
        <f ca="1">IFERROR(__xludf.DUMMYFUNCTION("""COMPUTED_VALUE"""),"")</f>
        <v/>
      </c>
      <c r="H2278" s="196" t="s">
        <v>29</v>
      </c>
      <c r="I2278" s="196"/>
      <c r="J2278" s="196" t="s">
        <v>29</v>
      </c>
      <c r="K2278" s="196"/>
      <c r="L2278" s="196" t="str">
        <v/>
      </c>
      <c r="M2278" s="196"/>
    </row>
    <row r="2279" spans="1:13" ht="14.4" x14ac:dyDescent="0.3">
      <c r="A2279" s="189"/>
      <c r="B2279" s="197" t="str">
        <f ca="1">IFERROR(__xludf.DUMMYFUNCTION("""COMPUTED_VALUE"""),"")</f>
        <v/>
      </c>
      <c r="C2279" s="189" t="str">
        <f ca="1">IFERROR(__xludf.DUMMYFUNCTION("""COMPUTED_VALUE"""),"")</f>
        <v/>
      </c>
      <c r="D2279" s="189" t="str">
        <f ca="1">IFERROR(__xludf.DUMMYFUNCTION("""COMPUTED_VALUE"""),"")</f>
        <v/>
      </c>
      <c r="E2279" s="189" t="str">
        <f ca="1">IFERROR(__xludf.DUMMYFUNCTION("""COMPUTED_VALUE"""),"")</f>
        <v/>
      </c>
      <c r="F2279" s="189" t="str">
        <f ca="1">IFERROR(__xludf.DUMMYFUNCTION("""COMPUTED_VALUE"""),"")</f>
        <v/>
      </c>
      <c r="G2279" s="189" t="str">
        <f ca="1">IFERROR(__xludf.DUMMYFUNCTION("""COMPUTED_VALUE"""),"")</f>
        <v/>
      </c>
      <c r="H2279" s="196" t="s">
        <v>29</v>
      </c>
      <c r="I2279" s="196"/>
      <c r="J2279" s="196" t="s">
        <v>29</v>
      </c>
      <c r="K2279" s="196"/>
      <c r="L2279" s="196" t="str">
        <v/>
      </c>
      <c r="M2279" s="196"/>
    </row>
    <row r="2280" spans="1:13" ht="14.4" x14ac:dyDescent="0.3">
      <c r="A2280" s="189"/>
      <c r="B2280" s="197" t="str">
        <f ca="1">IFERROR(__xludf.DUMMYFUNCTION("""COMPUTED_VALUE"""),"")</f>
        <v/>
      </c>
      <c r="C2280" s="189" t="str">
        <f ca="1">IFERROR(__xludf.DUMMYFUNCTION("""COMPUTED_VALUE"""),"")</f>
        <v/>
      </c>
      <c r="D2280" s="189" t="str">
        <f ca="1">IFERROR(__xludf.DUMMYFUNCTION("""COMPUTED_VALUE"""),"")</f>
        <v/>
      </c>
      <c r="E2280" s="189" t="str">
        <f ca="1">IFERROR(__xludf.DUMMYFUNCTION("""COMPUTED_VALUE"""),"")</f>
        <v/>
      </c>
      <c r="F2280" s="189" t="str">
        <f ca="1">IFERROR(__xludf.DUMMYFUNCTION("""COMPUTED_VALUE"""),"")</f>
        <v/>
      </c>
      <c r="G2280" s="189" t="str">
        <f ca="1">IFERROR(__xludf.DUMMYFUNCTION("""COMPUTED_VALUE"""),"")</f>
        <v/>
      </c>
      <c r="H2280" s="196" t="s">
        <v>29</v>
      </c>
      <c r="I2280" s="196"/>
      <c r="J2280" s="196" t="s">
        <v>29</v>
      </c>
      <c r="K2280" s="196"/>
      <c r="L2280" s="196" t="str">
        <v/>
      </c>
      <c r="M2280" s="196"/>
    </row>
    <row r="2281" spans="1:13" ht="14.4" x14ac:dyDescent="0.3">
      <c r="A2281" s="189"/>
      <c r="B2281" s="197" t="str">
        <f ca="1">IFERROR(__xludf.DUMMYFUNCTION("""COMPUTED_VALUE"""),"")</f>
        <v/>
      </c>
      <c r="C2281" s="189" t="str">
        <f ca="1">IFERROR(__xludf.DUMMYFUNCTION("""COMPUTED_VALUE"""),"")</f>
        <v/>
      </c>
      <c r="D2281" s="189" t="str">
        <f ca="1">IFERROR(__xludf.DUMMYFUNCTION("""COMPUTED_VALUE"""),"")</f>
        <v/>
      </c>
      <c r="E2281" s="189" t="str">
        <f ca="1">IFERROR(__xludf.DUMMYFUNCTION("""COMPUTED_VALUE"""),"")</f>
        <v/>
      </c>
      <c r="F2281" s="189" t="str">
        <f ca="1">IFERROR(__xludf.DUMMYFUNCTION("""COMPUTED_VALUE"""),"")</f>
        <v/>
      </c>
      <c r="G2281" s="189" t="str">
        <f ca="1">IFERROR(__xludf.DUMMYFUNCTION("""COMPUTED_VALUE"""),"")</f>
        <v/>
      </c>
      <c r="H2281" s="196" t="s">
        <v>29</v>
      </c>
      <c r="I2281" s="196"/>
      <c r="J2281" s="196" t="s">
        <v>29</v>
      </c>
      <c r="K2281" s="196"/>
      <c r="L2281" s="196" t="str">
        <v/>
      </c>
      <c r="M2281" s="196"/>
    </row>
    <row r="2282" spans="1:13" ht="14.4" x14ac:dyDescent="0.3">
      <c r="A2282" s="189"/>
      <c r="B2282" s="197"/>
      <c r="C2282" s="189"/>
      <c r="D2282" s="189"/>
      <c r="E2282" s="189"/>
      <c r="F2282" s="189"/>
      <c r="G2282" s="189"/>
      <c r="H2282" s="196" t="s">
        <v>29</v>
      </c>
      <c r="I2282" s="196"/>
      <c r="J2282" s="196" t="s">
        <v>29</v>
      </c>
      <c r="K2282" s="196"/>
      <c r="L2282" s="196" t="str">
        <v/>
      </c>
      <c r="M2282" s="196"/>
    </row>
    <row r="2283" spans="1:13" ht="14.4" x14ac:dyDescent="0.3">
      <c r="A2283" s="189"/>
      <c r="B2283" s="197"/>
      <c r="C2283" s="189"/>
      <c r="D2283" s="189"/>
      <c r="E2283" s="189"/>
      <c r="F2283" s="189"/>
      <c r="G2283" s="189"/>
      <c r="H2283" s="196" t="s">
        <v>29</v>
      </c>
      <c r="I2283" s="196"/>
      <c r="J2283" s="196" t="s">
        <v>29</v>
      </c>
      <c r="K2283" s="196"/>
      <c r="L2283" s="196" t="str">
        <v/>
      </c>
      <c r="M2283" s="196"/>
    </row>
    <row r="2284" spans="1:13" ht="14.4" x14ac:dyDescent="0.3">
      <c r="A2284" s="189"/>
      <c r="B2284" s="197"/>
      <c r="C2284" s="189"/>
      <c r="D2284" s="189"/>
      <c r="E2284" s="189"/>
      <c r="F2284" s="189"/>
      <c r="G2284" s="189"/>
      <c r="H2284" s="196" t="s">
        <v>29</v>
      </c>
      <c r="I2284" s="196"/>
      <c r="J2284" s="196" t="s">
        <v>29</v>
      </c>
      <c r="K2284" s="196"/>
      <c r="L2284" s="196" t="str">
        <v/>
      </c>
      <c r="M2284" s="196"/>
    </row>
    <row r="2285" spans="1:13" ht="14.4" x14ac:dyDescent="0.3">
      <c r="A2285" s="189"/>
      <c r="B2285" s="197"/>
      <c r="C2285" s="189"/>
      <c r="D2285" s="189"/>
      <c r="E2285" s="189"/>
      <c r="F2285" s="189"/>
      <c r="G2285" s="189"/>
      <c r="H2285" s="196" t="s">
        <v>29</v>
      </c>
      <c r="I2285" s="196"/>
      <c r="J2285" s="196" t="s">
        <v>29</v>
      </c>
      <c r="K2285" s="196"/>
      <c r="L2285" s="196" t="str">
        <v/>
      </c>
      <c r="M2285" s="196"/>
    </row>
    <row r="2286" spans="1:13" ht="14.4" x14ac:dyDescent="0.3">
      <c r="A2286" s="189"/>
      <c r="B2286" s="197"/>
      <c r="C2286" s="189"/>
      <c r="D2286" s="189"/>
      <c r="E2286" s="189"/>
      <c r="F2286" s="189"/>
      <c r="G2286" s="189"/>
      <c r="H2286" s="196" t="s">
        <v>29</v>
      </c>
      <c r="I2286" s="196"/>
      <c r="J2286" s="196" t="s">
        <v>29</v>
      </c>
      <c r="K2286" s="196"/>
      <c r="L2286" s="196" t="str">
        <v/>
      </c>
      <c r="M2286" s="196"/>
    </row>
    <row r="2287" spans="1:13" ht="14.4" x14ac:dyDescent="0.3">
      <c r="A2287" s="189"/>
      <c r="B2287" s="197"/>
      <c r="C2287" s="189"/>
      <c r="D2287" s="189"/>
      <c r="E2287" s="189"/>
      <c r="F2287" s="189"/>
      <c r="G2287" s="189"/>
      <c r="H2287" s="196" t="s">
        <v>29</v>
      </c>
      <c r="I2287" s="196"/>
      <c r="J2287" s="196" t="s">
        <v>29</v>
      </c>
      <c r="K2287" s="196"/>
      <c r="L2287" s="196" t="str">
        <v/>
      </c>
      <c r="M2287" s="196"/>
    </row>
    <row r="2288" spans="1:13" ht="14.4" x14ac:dyDescent="0.3">
      <c r="A2288" s="189"/>
      <c r="B2288" s="197"/>
      <c r="C2288" s="189"/>
      <c r="D2288" s="189"/>
      <c r="E2288" s="189"/>
      <c r="F2288" s="189"/>
      <c r="G2288" s="189"/>
      <c r="H2288" s="196" t="s">
        <v>29</v>
      </c>
      <c r="I2288" s="196"/>
      <c r="J2288" s="196" t="s">
        <v>29</v>
      </c>
      <c r="K2288" s="196"/>
      <c r="L2288" s="196" t="str">
        <v/>
      </c>
      <c r="M2288" s="196"/>
    </row>
    <row r="2289" spans="1:13" ht="14.4" x14ac:dyDescent="0.3">
      <c r="A2289" s="189"/>
      <c r="B2289" s="197"/>
      <c r="C2289" s="189"/>
      <c r="D2289" s="189"/>
      <c r="E2289" s="189"/>
      <c r="F2289" s="189"/>
      <c r="G2289" s="189"/>
      <c r="H2289" s="196" t="s">
        <v>29</v>
      </c>
      <c r="I2289" s="196"/>
      <c r="J2289" s="196" t="s">
        <v>29</v>
      </c>
      <c r="K2289" s="196"/>
      <c r="L2289" s="196" t="str">
        <v/>
      </c>
      <c r="M2289" s="196"/>
    </row>
    <row r="2290" spans="1:13" ht="14.4" x14ac:dyDescent="0.3">
      <c r="A2290" s="189"/>
      <c r="B2290" s="197"/>
      <c r="C2290" s="189"/>
      <c r="D2290" s="189"/>
      <c r="E2290" s="189"/>
      <c r="F2290" s="189"/>
      <c r="G2290" s="189"/>
      <c r="H2290" s="196" t="s">
        <v>29</v>
      </c>
      <c r="I2290" s="196"/>
      <c r="J2290" s="196" t="s">
        <v>29</v>
      </c>
      <c r="K2290" s="196"/>
      <c r="L2290" s="196" t="str">
        <v/>
      </c>
      <c r="M2290" s="196"/>
    </row>
    <row r="2291" spans="1:13" ht="14.4" x14ac:dyDescent="0.3">
      <c r="A2291" s="189"/>
      <c r="B2291" s="197"/>
      <c r="C2291" s="189"/>
      <c r="D2291" s="189"/>
      <c r="E2291" s="189"/>
      <c r="F2291" s="189"/>
      <c r="G2291" s="189"/>
      <c r="H2291" s="196" t="s">
        <v>29</v>
      </c>
      <c r="I2291" s="196"/>
      <c r="J2291" s="196" t="s">
        <v>29</v>
      </c>
      <c r="K2291" s="196"/>
      <c r="L2291" s="196" t="str">
        <v/>
      </c>
      <c r="M2291" s="196"/>
    </row>
    <row r="2292" spans="1:13" ht="14.4" x14ac:dyDescent="0.3">
      <c r="A2292" s="189"/>
      <c r="B2292" s="197"/>
      <c r="C2292" s="189"/>
      <c r="D2292" s="189"/>
      <c r="E2292" s="189"/>
      <c r="F2292" s="189"/>
      <c r="G2292" s="189"/>
      <c r="H2292" s="196" t="s">
        <v>29</v>
      </c>
      <c r="I2292" s="196"/>
      <c r="J2292" s="196" t="s">
        <v>29</v>
      </c>
      <c r="K2292" s="196"/>
      <c r="L2292" s="196" t="str">
        <v/>
      </c>
      <c r="M2292" s="196"/>
    </row>
    <row r="2293" spans="1:13" ht="14.4" x14ac:dyDescent="0.3">
      <c r="A2293" s="189"/>
      <c r="B2293" s="197"/>
      <c r="C2293" s="189"/>
      <c r="D2293" s="189"/>
      <c r="E2293" s="189"/>
      <c r="F2293" s="189"/>
      <c r="G2293" s="189"/>
      <c r="H2293" s="196" t="s">
        <v>29</v>
      </c>
      <c r="I2293" s="196"/>
      <c r="J2293" s="196" t="s">
        <v>29</v>
      </c>
      <c r="K2293" s="196"/>
      <c r="L2293" s="196" t="str">
        <v/>
      </c>
      <c r="M2293" s="196"/>
    </row>
    <row r="2294" spans="1:13" ht="14.4" x14ac:dyDescent="0.3">
      <c r="A2294" s="189"/>
      <c r="B2294" s="197"/>
      <c r="C2294" s="189"/>
      <c r="D2294" s="189"/>
      <c r="E2294" s="189"/>
      <c r="F2294" s="189"/>
      <c r="G2294" s="189"/>
      <c r="H2294" s="196" t="s">
        <v>29</v>
      </c>
      <c r="I2294" s="196"/>
      <c r="J2294" s="196" t="s">
        <v>29</v>
      </c>
      <c r="K2294" s="196"/>
      <c r="L2294" s="196" t="str">
        <v/>
      </c>
      <c r="M2294" s="196"/>
    </row>
    <row r="2295" spans="1:13" ht="14.4" x14ac:dyDescent="0.3">
      <c r="A2295" s="189"/>
      <c r="B2295" s="197"/>
      <c r="C2295" s="189"/>
      <c r="D2295" s="189"/>
      <c r="E2295" s="189"/>
      <c r="F2295" s="189"/>
      <c r="G2295" s="189"/>
      <c r="H2295" s="196" t="s">
        <v>29</v>
      </c>
      <c r="I2295" s="196"/>
      <c r="J2295" s="196" t="s">
        <v>29</v>
      </c>
      <c r="K2295" s="196"/>
      <c r="L2295" s="196" t="str">
        <v/>
      </c>
      <c r="M2295" s="196"/>
    </row>
    <row r="2296" spans="1:13" ht="14.4" x14ac:dyDescent="0.3">
      <c r="A2296" s="189"/>
      <c r="B2296" s="197"/>
      <c r="C2296" s="189"/>
      <c r="D2296" s="189"/>
      <c r="E2296" s="189"/>
      <c r="F2296" s="189"/>
      <c r="G2296" s="189"/>
      <c r="H2296" s="196" t="s">
        <v>29</v>
      </c>
      <c r="I2296" s="196"/>
      <c r="J2296" s="196" t="s">
        <v>29</v>
      </c>
      <c r="K2296" s="196"/>
      <c r="L2296" s="196" t="str">
        <v/>
      </c>
      <c r="M2296" s="196"/>
    </row>
    <row r="2297" spans="1:13" ht="14.4" x14ac:dyDescent="0.3">
      <c r="A2297" s="189"/>
      <c r="B2297" s="197"/>
      <c r="C2297" s="189"/>
      <c r="D2297" s="189"/>
      <c r="E2297" s="189"/>
      <c r="F2297" s="189"/>
      <c r="G2297" s="189"/>
      <c r="H2297" s="196" t="s">
        <v>29</v>
      </c>
      <c r="I2297" s="196"/>
      <c r="J2297" s="196" t="s">
        <v>29</v>
      </c>
      <c r="K2297" s="196"/>
      <c r="L2297" s="196" t="str">
        <v/>
      </c>
      <c r="M2297" s="196"/>
    </row>
    <row r="2298" spans="1:13" ht="14.4" x14ac:dyDescent="0.3">
      <c r="A2298" s="189"/>
      <c r="B2298" s="197"/>
      <c r="C2298" s="189"/>
      <c r="D2298" s="189"/>
      <c r="E2298" s="189"/>
      <c r="F2298" s="189"/>
      <c r="G2298" s="189"/>
      <c r="H2298" s="196" t="s">
        <v>29</v>
      </c>
      <c r="I2298" s="196"/>
      <c r="J2298" s="196" t="s">
        <v>29</v>
      </c>
      <c r="K2298" s="196"/>
      <c r="L2298" s="196" t="str">
        <v/>
      </c>
      <c r="M2298" s="196"/>
    </row>
    <row r="2299" spans="1:13" ht="14.4" x14ac:dyDescent="0.3">
      <c r="A2299" s="189"/>
      <c r="B2299" s="197"/>
      <c r="C2299" s="189"/>
      <c r="D2299" s="189"/>
      <c r="E2299" s="189"/>
      <c r="F2299" s="189"/>
      <c r="G2299" s="189"/>
      <c r="H2299" s="196" t="s">
        <v>29</v>
      </c>
      <c r="I2299" s="196"/>
      <c r="J2299" s="196" t="s">
        <v>29</v>
      </c>
      <c r="K2299" s="196"/>
      <c r="L2299" s="196" t="str">
        <v/>
      </c>
      <c r="M2299" s="196"/>
    </row>
    <row r="2300" spans="1:13" ht="14.4" x14ac:dyDescent="0.3">
      <c r="A2300" s="189"/>
      <c r="B2300" s="197"/>
      <c r="C2300" s="189"/>
      <c r="D2300" s="189"/>
      <c r="E2300" s="189"/>
      <c r="F2300" s="189"/>
      <c r="G2300" s="189"/>
      <c r="H2300" s="196" t="s">
        <v>29</v>
      </c>
      <c r="I2300" s="196"/>
      <c r="J2300" s="196" t="s">
        <v>29</v>
      </c>
      <c r="K2300" s="196"/>
      <c r="L2300" s="196" t="str">
        <v/>
      </c>
      <c r="M2300" s="196"/>
    </row>
    <row r="2301" spans="1:13" ht="14.4" x14ac:dyDescent="0.3">
      <c r="A2301" s="189"/>
      <c r="B2301" s="197"/>
      <c r="C2301" s="189"/>
      <c r="D2301" s="189"/>
      <c r="E2301" s="189"/>
      <c r="F2301" s="189"/>
      <c r="G2301" s="189"/>
      <c r="H2301" s="196" t="s">
        <v>29</v>
      </c>
      <c r="I2301" s="196"/>
      <c r="J2301" s="196" t="s">
        <v>29</v>
      </c>
      <c r="K2301" s="196"/>
      <c r="L2301" s="196" t="str">
        <v/>
      </c>
      <c r="M2301" s="196"/>
    </row>
    <row r="2302" spans="1:13" ht="14.4" x14ac:dyDescent="0.3">
      <c r="A2302" s="189"/>
      <c r="B2302" s="197"/>
      <c r="C2302" s="189"/>
      <c r="D2302" s="189"/>
      <c r="E2302" s="189"/>
      <c r="F2302" s="189"/>
      <c r="G2302" s="189"/>
      <c r="H2302" s="196" t="s">
        <v>29</v>
      </c>
      <c r="I2302" s="196"/>
      <c r="J2302" s="196" t="s">
        <v>29</v>
      </c>
      <c r="K2302" s="196"/>
      <c r="L2302" s="196" t="str">
        <v/>
      </c>
      <c r="M2302" s="196"/>
    </row>
    <row r="2303" spans="1:13" ht="14.4" x14ac:dyDescent="0.3">
      <c r="A2303" s="189"/>
      <c r="B2303" s="197"/>
      <c r="C2303" s="189"/>
      <c r="D2303" s="189"/>
      <c r="E2303" s="189"/>
      <c r="F2303" s="189"/>
      <c r="G2303" s="189"/>
      <c r="H2303" s="196" t="s">
        <v>29</v>
      </c>
      <c r="I2303" s="196"/>
      <c r="J2303" s="196" t="s">
        <v>29</v>
      </c>
      <c r="K2303" s="196"/>
      <c r="L2303" s="196" t="str">
        <v/>
      </c>
      <c r="M2303" s="196"/>
    </row>
    <row r="2304" spans="1:13" ht="14.4" x14ac:dyDescent="0.3">
      <c r="A2304" s="189"/>
      <c r="B2304" s="197"/>
      <c r="C2304" s="189"/>
      <c r="D2304" s="189"/>
      <c r="E2304" s="189"/>
      <c r="F2304" s="189"/>
      <c r="G2304" s="189"/>
      <c r="H2304" s="196" t="s">
        <v>29</v>
      </c>
      <c r="I2304" s="196"/>
      <c r="J2304" s="196" t="s">
        <v>29</v>
      </c>
      <c r="K2304" s="196"/>
      <c r="L2304" s="196" t="str">
        <v/>
      </c>
      <c r="M2304" s="196"/>
    </row>
    <row r="2305" spans="1:13" ht="14.4" x14ac:dyDescent="0.3">
      <c r="A2305" s="189"/>
      <c r="B2305" s="197"/>
      <c r="C2305" s="189"/>
      <c r="D2305" s="189"/>
      <c r="E2305" s="189"/>
      <c r="F2305" s="189"/>
      <c r="G2305" s="189"/>
      <c r="H2305" s="196" t="s">
        <v>29</v>
      </c>
      <c r="I2305" s="196"/>
      <c r="J2305" s="196" t="s">
        <v>29</v>
      </c>
      <c r="K2305" s="196"/>
      <c r="L2305" s="196" t="str">
        <v/>
      </c>
      <c r="M2305" s="196"/>
    </row>
    <row r="2306" spans="1:13" ht="14.4" x14ac:dyDescent="0.3">
      <c r="A2306" s="189"/>
      <c r="B2306" s="197"/>
      <c r="C2306" s="189"/>
      <c r="D2306" s="189"/>
      <c r="E2306" s="189"/>
      <c r="F2306" s="189"/>
      <c r="G2306" s="189"/>
      <c r="H2306" s="196" t="s">
        <v>29</v>
      </c>
      <c r="I2306" s="196"/>
      <c r="J2306" s="196" t="s">
        <v>29</v>
      </c>
      <c r="K2306" s="196"/>
      <c r="L2306" s="196" t="str">
        <v/>
      </c>
      <c r="M2306" s="196"/>
    </row>
    <row r="2307" spans="1:13" ht="14.4" x14ac:dyDescent="0.3">
      <c r="A2307" s="189"/>
      <c r="B2307" s="197"/>
      <c r="C2307" s="189"/>
      <c r="D2307" s="189"/>
      <c r="E2307" s="189"/>
      <c r="F2307" s="189"/>
      <c r="G2307" s="189"/>
      <c r="H2307" s="196" t="s">
        <v>29</v>
      </c>
      <c r="I2307" s="196"/>
      <c r="J2307" s="196" t="s">
        <v>29</v>
      </c>
      <c r="K2307" s="196"/>
      <c r="L2307" s="196" t="str">
        <v/>
      </c>
      <c r="M2307" s="196"/>
    </row>
    <row r="2308" spans="1:13" ht="14.4" x14ac:dyDescent="0.3">
      <c r="A2308" s="189"/>
      <c r="B2308" s="197"/>
      <c r="C2308" s="189"/>
      <c r="D2308" s="189"/>
      <c r="E2308" s="189"/>
      <c r="F2308" s="189"/>
      <c r="G2308" s="189"/>
      <c r="H2308" s="196" t="s">
        <v>29</v>
      </c>
      <c r="I2308" s="196"/>
      <c r="J2308" s="196" t="s">
        <v>29</v>
      </c>
      <c r="K2308" s="196"/>
      <c r="L2308" s="196" t="str">
        <v/>
      </c>
      <c r="M2308" s="196"/>
    </row>
    <row r="2309" spans="1:13" ht="14.4" x14ac:dyDescent="0.3">
      <c r="A2309" s="189"/>
      <c r="B2309" s="197"/>
      <c r="C2309" s="189"/>
      <c r="D2309" s="189"/>
      <c r="E2309" s="189"/>
      <c r="F2309" s="189"/>
      <c r="G2309" s="189"/>
      <c r="H2309" s="196" t="s">
        <v>29</v>
      </c>
      <c r="I2309" s="196"/>
      <c r="J2309" s="196" t="s">
        <v>29</v>
      </c>
      <c r="K2309" s="196"/>
      <c r="L2309" s="196" t="str">
        <v/>
      </c>
      <c r="M2309" s="196"/>
    </row>
    <row r="2310" spans="1:13" ht="14.4" x14ac:dyDescent="0.3">
      <c r="A2310" s="189"/>
      <c r="B2310" s="197"/>
      <c r="C2310" s="189"/>
      <c r="D2310" s="189"/>
      <c r="E2310" s="189"/>
      <c r="F2310" s="189"/>
      <c r="G2310" s="189"/>
      <c r="H2310" s="196" t="s">
        <v>29</v>
      </c>
      <c r="I2310" s="196"/>
      <c r="J2310" s="196" t="s">
        <v>29</v>
      </c>
      <c r="K2310" s="196"/>
      <c r="L2310" s="196" t="str">
        <v/>
      </c>
      <c r="M2310" s="196"/>
    </row>
    <row r="2311" spans="1:13" ht="14.4" x14ac:dyDescent="0.3">
      <c r="A2311" s="189"/>
      <c r="B2311" s="197"/>
      <c r="C2311" s="189"/>
      <c r="D2311" s="189"/>
      <c r="E2311" s="189"/>
      <c r="F2311" s="189"/>
      <c r="G2311" s="189"/>
      <c r="H2311" s="196" t="s">
        <v>29</v>
      </c>
      <c r="I2311" s="196"/>
      <c r="J2311" s="196" t="s">
        <v>29</v>
      </c>
      <c r="K2311" s="196"/>
      <c r="L2311" s="196" t="str">
        <v/>
      </c>
      <c r="M2311" s="196"/>
    </row>
    <row r="2312" spans="1:13" ht="14.4" x14ac:dyDescent="0.3">
      <c r="A2312" s="189"/>
      <c r="B2312" s="197"/>
      <c r="C2312" s="189"/>
      <c r="D2312" s="189"/>
      <c r="E2312" s="189"/>
      <c r="F2312" s="189"/>
      <c r="G2312" s="189"/>
      <c r="H2312" s="196" t="s">
        <v>29</v>
      </c>
      <c r="I2312" s="196"/>
      <c r="J2312" s="196" t="s">
        <v>29</v>
      </c>
      <c r="K2312" s="196"/>
      <c r="L2312" s="196" t="str">
        <v/>
      </c>
      <c r="M2312" s="196"/>
    </row>
    <row r="2313" spans="1:13" ht="14.4" x14ac:dyDescent="0.3">
      <c r="A2313" s="189"/>
      <c r="B2313" s="197"/>
      <c r="C2313" s="189"/>
      <c r="D2313" s="189"/>
      <c r="E2313" s="189"/>
      <c r="F2313" s="189"/>
      <c r="G2313" s="189"/>
      <c r="H2313" s="196" t="s">
        <v>29</v>
      </c>
      <c r="I2313" s="196"/>
      <c r="J2313" s="196" t="s">
        <v>29</v>
      </c>
      <c r="K2313" s="196"/>
      <c r="L2313" s="196" t="str">
        <v/>
      </c>
      <c r="M2313" s="196"/>
    </row>
    <row r="2314" spans="1:13" ht="14.4" x14ac:dyDescent="0.3">
      <c r="A2314" s="189"/>
      <c r="B2314" s="197"/>
      <c r="C2314" s="189"/>
      <c r="D2314" s="189"/>
      <c r="E2314" s="189"/>
      <c r="F2314" s="189"/>
      <c r="G2314" s="189"/>
      <c r="H2314" s="196" t="s">
        <v>29</v>
      </c>
      <c r="I2314" s="196"/>
      <c r="J2314" s="196" t="s">
        <v>29</v>
      </c>
      <c r="K2314" s="196"/>
      <c r="L2314" s="196" t="str">
        <v/>
      </c>
      <c r="M2314" s="196"/>
    </row>
    <row r="2315" spans="1:13" ht="14.4" x14ac:dyDescent="0.3">
      <c r="A2315" s="189"/>
      <c r="B2315" s="197"/>
      <c r="C2315" s="189"/>
      <c r="D2315" s="189"/>
      <c r="E2315" s="189"/>
      <c r="F2315" s="189"/>
      <c r="G2315" s="189"/>
      <c r="H2315" s="196" t="s">
        <v>29</v>
      </c>
      <c r="I2315" s="196"/>
      <c r="J2315" s="196" t="s">
        <v>29</v>
      </c>
      <c r="K2315" s="196"/>
      <c r="L2315" s="196" t="str">
        <v/>
      </c>
      <c r="M2315" s="196"/>
    </row>
    <row r="2316" spans="1:13" ht="14.4" x14ac:dyDescent="0.3">
      <c r="A2316" s="189"/>
      <c r="B2316" s="197"/>
      <c r="C2316" s="189"/>
      <c r="D2316" s="189"/>
      <c r="E2316" s="189"/>
      <c r="F2316" s="189"/>
      <c r="G2316" s="189"/>
      <c r="H2316" s="196" t="s">
        <v>29</v>
      </c>
      <c r="I2316" s="196"/>
      <c r="J2316" s="196" t="s">
        <v>29</v>
      </c>
      <c r="K2316" s="196"/>
      <c r="L2316" s="196" t="str">
        <v/>
      </c>
      <c r="M2316" s="196"/>
    </row>
    <row r="2317" spans="1:13" ht="14.4" x14ac:dyDescent="0.3">
      <c r="A2317" s="189"/>
      <c r="B2317" s="197"/>
      <c r="C2317" s="189"/>
      <c r="D2317" s="189"/>
      <c r="E2317" s="189"/>
      <c r="F2317" s="189"/>
      <c r="G2317" s="189"/>
      <c r="H2317" s="196" t="s">
        <v>29</v>
      </c>
      <c r="I2317" s="196"/>
      <c r="J2317" s="196" t="s">
        <v>29</v>
      </c>
      <c r="K2317" s="196"/>
      <c r="L2317" s="196" t="str">
        <v/>
      </c>
      <c r="M2317" s="196"/>
    </row>
    <row r="2318" spans="1:13" ht="14.4" x14ac:dyDescent="0.3">
      <c r="A2318" s="189"/>
      <c r="B2318" s="197"/>
      <c r="C2318" s="189"/>
      <c r="D2318" s="189"/>
      <c r="E2318" s="189"/>
      <c r="F2318" s="189"/>
      <c r="G2318" s="189"/>
      <c r="H2318" s="196" t="s">
        <v>29</v>
      </c>
      <c r="I2318" s="196"/>
      <c r="J2318" s="196" t="s">
        <v>29</v>
      </c>
      <c r="K2318" s="196"/>
      <c r="L2318" s="196" t="str">
        <v/>
      </c>
      <c r="M2318" s="196"/>
    </row>
    <row r="2319" spans="1:13" ht="14.4" x14ac:dyDescent="0.3">
      <c r="A2319" s="189"/>
      <c r="B2319" s="197"/>
      <c r="C2319" s="189"/>
      <c r="D2319" s="189"/>
      <c r="E2319" s="189"/>
      <c r="F2319" s="189"/>
      <c r="G2319" s="189"/>
      <c r="H2319" s="196" t="s">
        <v>29</v>
      </c>
      <c r="I2319" s="196"/>
      <c r="J2319" s="196" t="s">
        <v>29</v>
      </c>
      <c r="K2319" s="196"/>
      <c r="L2319" s="196" t="str">
        <v/>
      </c>
      <c r="M2319" s="196"/>
    </row>
    <row r="2320" spans="1:13" ht="14.4" x14ac:dyDescent="0.3">
      <c r="A2320" s="189"/>
      <c r="B2320" s="197"/>
      <c r="C2320" s="189"/>
      <c r="D2320" s="189"/>
      <c r="E2320" s="189"/>
      <c r="F2320" s="189"/>
      <c r="G2320" s="189"/>
      <c r="H2320" s="196" t="s">
        <v>29</v>
      </c>
      <c r="I2320" s="196"/>
      <c r="J2320" s="196" t="s">
        <v>29</v>
      </c>
      <c r="K2320" s="196"/>
      <c r="L2320" s="196" t="str">
        <v/>
      </c>
      <c r="M2320" s="196"/>
    </row>
    <row r="2321" spans="1:13" ht="14.4" x14ac:dyDescent="0.3">
      <c r="A2321" s="189"/>
      <c r="B2321" s="197"/>
      <c r="C2321" s="189"/>
      <c r="D2321" s="189"/>
      <c r="E2321" s="189"/>
      <c r="F2321" s="189"/>
      <c r="G2321" s="189"/>
      <c r="H2321" s="196" t="s">
        <v>29</v>
      </c>
      <c r="I2321" s="196"/>
      <c r="J2321" s="196" t="s">
        <v>29</v>
      </c>
      <c r="K2321" s="196"/>
      <c r="L2321" s="196" t="str">
        <v/>
      </c>
      <c r="M2321" s="196"/>
    </row>
    <row r="2322" spans="1:13" ht="14.4" x14ac:dyDescent="0.3">
      <c r="A2322" s="189"/>
      <c r="B2322" s="197"/>
      <c r="C2322" s="189"/>
      <c r="D2322" s="189"/>
      <c r="E2322" s="189"/>
      <c r="F2322" s="189"/>
      <c r="G2322" s="189"/>
      <c r="H2322" s="196" t="s">
        <v>29</v>
      </c>
      <c r="I2322" s="196"/>
      <c r="J2322" s="196" t="s">
        <v>29</v>
      </c>
      <c r="K2322" s="196"/>
      <c r="L2322" s="196" t="str">
        <v/>
      </c>
      <c r="M2322" s="196"/>
    </row>
    <row r="2323" spans="1:13" ht="14.4" x14ac:dyDescent="0.3">
      <c r="A2323" s="189"/>
      <c r="B2323" s="197"/>
      <c r="C2323" s="189"/>
      <c r="D2323" s="189"/>
      <c r="E2323" s="189"/>
      <c r="F2323" s="189"/>
      <c r="G2323" s="189"/>
      <c r="H2323" s="196" t="s">
        <v>29</v>
      </c>
      <c r="I2323" s="196"/>
      <c r="J2323" s="196" t="s">
        <v>29</v>
      </c>
      <c r="K2323" s="196"/>
      <c r="L2323" s="196" t="str">
        <v/>
      </c>
      <c r="M2323" s="196"/>
    </row>
    <row r="2324" spans="1:13" ht="14.4" x14ac:dyDescent="0.3">
      <c r="A2324" s="189"/>
      <c r="B2324" s="197"/>
      <c r="C2324" s="189"/>
      <c r="D2324" s="189"/>
      <c r="E2324" s="189"/>
      <c r="F2324" s="189"/>
      <c r="G2324" s="189"/>
      <c r="H2324" s="196" t="s">
        <v>29</v>
      </c>
      <c r="I2324" s="196"/>
      <c r="J2324" s="196" t="s">
        <v>29</v>
      </c>
      <c r="K2324" s="196"/>
      <c r="L2324" s="196" t="str">
        <v/>
      </c>
      <c r="M2324" s="196"/>
    </row>
    <row r="2325" spans="1:13" ht="14.4" x14ac:dyDescent="0.3">
      <c r="A2325" s="189"/>
      <c r="B2325" s="197"/>
      <c r="C2325" s="189"/>
      <c r="D2325" s="189"/>
      <c r="E2325" s="189"/>
      <c r="F2325" s="189"/>
      <c r="G2325" s="189"/>
      <c r="H2325" s="196" t="s">
        <v>29</v>
      </c>
      <c r="I2325" s="196"/>
      <c r="J2325" s="196" t="s">
        <v>29</v>
      </c>
      <c r="K2325" s="196"/>
      <c r="L2325" s="196" t="str">
        <v/>
      </c>
      <c r="M2325" s="196"/>
    </row>
    <row r="2326" spans="1:13" ht="14.4" x14ac:dyDescent="0.3">
      <c r="A2326" s="189"/>
      <c r="B2326" s="197"/>
      <c r="C2326" s="189"/>
      <c r="D2326" s="189"/>
      <c r="E2326" s="189"/>
      <c r="F2326" s="189"/>
      <c r="G2326" s="189"/>
      <c r="H2326" s="196" t="s">
        <v>29</v>
      </c>
      <c r="I2326" s="196"/>
      <c r="J2326" s="196" t="s">
        <v>29</v>
      </c>
      <c r="K2326" s="196"/>
      <c r="L2326" s="196" t="str">
        <v/>
      </c>
      <c r="M2326" s="196"/>
    </row>
    <row r="2327" spans="1:13" ht="14.4" x14ac:dyDescent="0.3">
      <c r="A2327" s="189"/>
      <c r="B2327" s="197"/>
      <c r="C2327" s="189"/>
      <c r="D2327" s="189"/>
      <c r="E2327" s="189"/>
      <c r="F2327" s="189"/>
      <c r="G2327" s="189"/>
      <c r="H2327" s="196" t="s">
        <v>29</v>
      </c>
      <c r="I2327" s="196"/>
      <c r="J2327" s="196" t="s">
        <v>29</v>
      </c>
      <c r="K2327" s="196"/>
      <c r="L2327" s="196" t="str">
        <v/>
      </c>
      <c r="M2327" s="196"/>
    </row>
    <row r="2328" spans="1:13" ht="14.4" x14ac:dyDescent="0.3">
      <c r="A2328" s="189"/>
      <c r="B2328" s="197"/>
      <c r="C2328" s="189"/>
      <c r="D2328" s="189"/>
      <c r="E2328" s="189"/>
      <c r="F2328" s="189"/>
      <c r="G2328" s="189"/>
      <c r="H2328" s="196" t="s">
        <v>29</v>
      </c>
      <c r="I2328" s="196"/>
      <c r="J2328" s="196" t="s">
        <v>29</v>
      </c>
      <c r="K2328" s="196"/>
      <c r="L2328" s="196" t="str">
        <v/>
      </c>
      <c r="M2328" s="196"/>
    </row>
    <row r="2329" spans="1:13" ht="14.4" x14ac:dyDescent="0.3">
      <c r="A2329" s="189"/>
      <c r="B2329" s="197"/>
      <c r="C2329" s="189"/>
      <c r="D2329" s="189"/>
      <c r="E2329" s="189"/>
      <c r="F2329" s="189"/>
      <c r="G2329" s="189"/>
      <c r="H2329" s="196" t="s">
        <v>29</v>
      </c>
      <c r="I2329" s="196"/>
      <c r="J2329" s="196" t="s">
        <v>29</v>
      </c>
      <c r="K2329" s="196"/>
      <c r="L2329" s="196" t="str">
        <v/>
      </c>
      <c r="M2329" s="196"/>
    </row>
    <row r="2330" spans="1:13" ht="14.4" x14ac:dyDescent="0.3">
      <c r="A2330" s="189"/>
      <c r="B2330" s="197"/>
      <c r="C2330" s="189"/>
      <c r="D2330" s="189"/>
      <c r="E2330" s="189"/>
      <c r="F2330" s="189"/>
      <c r="G2330" s="189"/>
      <c r="H2330" s="196" t="s">
        <v>29</v>
      </c>
      <c r="I2330" s="196"/>
      <c r="J2330" s="196" t="s">
        <v>29</v>
      </c>
      <c r="K2330" s="196"/>
      <c r="L2330" s="196" t="str">
        <v/>
      </c>
      <c r="M2330" s="196"/>
    </row>
    <row r="2331" spans="1:13" ht="14.4" x14ac:dyDescent="0.3">
      <c r="A2331" s="189"/>
      <c r="B2331" s="197"/>
      <c r="C2331" s="189"/>
      <c r="D2331" s="189"/>
      <c r="E2331" s="189"/>
      <c r="F2331" s="189"/>
      <c r="G2331" s="189"/>
      <c r="H2331" s="196" t="s">
        <v>29</v>
      </c>
      <c r="I2331" s="196"/>
      <c r="J2331" s="196" t="s">
        <v>29</v>
      </c>
      <c r="K2331" s="196"/>
      <c r="L2331" s="196" t="str">
        <v/>
      </c>
      <c r="M2331" s="196"/>
    </row>
    <row r="2332" spans="1:13" ht="14.4" x14ac:dyDescent="0.3">
      <c r="A2332" s="189"/>
      <c r="B2332" s="197"/>
      <c r="C2332" s="189"/>
      <c r="D2332" s="189"/>
      <c r="E2332" s="189"/>
      <c r="F2332" s="189"/>
      <c r="G2332" s="189"/>
      <c r="H2332" s="196" t="s">
        <v>29</v>
      </c>
      <c r="I2332" s="196"/>
      <c r="J2332" s="196" t="s">
        <v>29</v>
      </c>
      <c r="K2332" s="196"/>
      <c r="L2332" s="196" t="str">
        <v/>
      </c>
      <c r="M2332" s="196"/>
    </row>
    <row r="2333" spans="1:13" ht="14.4" x14ac:dyDescent="0.3">
      <c r="A2333" s="189"/>
      <c r="B2333" s="197"/>
      <c r="C2333" s="189"/>
      <c r="D2333" s="189"/>
      <c r="E2333" s="189"/>
      <c r="F2333" s="189"/>
      <c r="G2333" s="189"/>
      <c r="H2333" s="196" t="s">
        <v>29</v>
      </c>
      <c r="I2333" s="196"/>
      <c r="J2333" s="196" t="s">
        <v>29</v>
      </c>
      <c r="K2333" s="196"/>
      <c r="L2333" s="196" t="str">
        <v/>
      </c>
      <c r="M2333" s="196"/>
    </row>
    <row r="2334" spans="1:13" ht="14.4" x14ac:dyDescent="0.3">
      <c r="A2334" s="189"/>
      <c r="B2334" s="197"/>
      <c r="C2334" s="189"/>
      <c r="D2334" s="189"/>
      <c r="E2334" s="189"/>
      <c r="F2334" s="189"/>
      <c r="G2334" s="189"/>
      <c r="H2334" s="196" t="s">
        <v>29</v>
      </c>
      <c r="I2334" s="196"/>
      <c r="J2334" s="196" t="s">
        <v>29</v>
      </c>
      <c r="K2334" s="196"/>
      <c r="L2334" s="196" t="str">
        <v/>
      </c>
      <c r="M2334" s="196"/>
    </row>
    <row r="2335" spans="1:13" ht="14.4" x14ac:dyDescent="0.3">
      <c r="A2335" s="189"/>
      <c r="B2335" s="197"/>
      <c r="C2335" s="189"/>
      <c r="D2335" s="189"/>
      <c r="E2335" s="189"/>
      <c r="F2335" s="189"/>
      <c r="G2335" s="189"/>
      <c r="H2335" s="196" t="s">
        <v>29</v>
      </c>
      <c r="I2335" s="196"/>
      <c r="J2335" s="196" t="s">
        <v>29</v>
      </c>
      <c r="K2335" s="196"/>
      <c r="L2335" s="196" t="str">
        <v/>
      </c>
      <c r="M2335" s="196"/>
    </row>
    <row r="2336" spans="1:13" ht="14.4" x14ac:dyDescent="0.3">
      <c r="A2336" s="189"/>
      <c r="B2336" s="197"/>
      <c r="C2336" s="189"/>
      <c r="D2336" s="189"/>
      <c r="E2336" s="189"/>
      <c r="F2336" s="189"/>
      <c r="G2336" s="189"/>
      <c r="H2336" s="196" t="s">
        <v>29</v>
      </c>
      <c r="I2336" s="196"/>
      <c r="J2336" s="196" t="s">
        <v>29</v>
      </c>
      <c r="K2336" s="196"/>
      <c r="L2336" s="196" t="str">
        <v/>
      </c>
      <c r="M2336" s="196"/>
    </row>
    <row r="2337" spans="1:13" ht="14.4" x14ac:dyDescent="0.3">
      <c r="A2337" s="189"/>
      <c r="B2337" s="197"/>
      <c r="C2337" s="189"/>
      <c r="D2337" s="189"/>
      <c r="E2337" s="189"/>
      <c r="F2337" s="189"/>
      <c r="G2337" s="189"/>
      <c r="H2337" s="196" t="s">
        <v>29</v>
      </c>
      <c r="I2337" s="196"/>
      <c r="J2337" s="196" t="s">
        <v>29</v>
      </c>
      <c r="K2337" s="196"/>
      <c r="L2337" s="196" t="str">
        <v/>
      </c>
      <c r="M2337" s="196"/>
    </row>
    <row r="2338" spans="1:13" ht="14.4" x14ac:dyDescent="0.3">
      <c r="A2338" s="189"/>
      <c r="B2338" s="197"/>
      <c r="C2338" s="189"/>
      <c r="D2338" s="189"/>
      <c r="E2338" s="189"/>
      <c r="F2338" s="189"/>
      <c r="G2338" s="189"/>
      <c r="H2338" s="196" t="s">
        <v>29</v>
      </c>
      <c r="I2338" s="196"/>
      <c r="J2338" s="196" t="s">
        <v>29</v>
      </c>
      <c r="K2338" s="196"/>
      <c r="L2338" s="196" t="str">
        <v/>
      </c>
      <c r="M2338" s="196"/>
    </row>
    <row r="2339" spans="1:13" ht="14.4" x14ac:dyDescent="0.3">
      <c r="A2339" s="189"/>
      <c r="B2339" s="197"/>
      <c r="C2339" s="189"/>
      <c r="D2339" s="189"/>
      <c r="E2339" s="189"/>
      <c r="F2339" s="189"/>
      <c r="G2339" s="189"/>
      <c r="H2339" s="196" t="s">
        <v>29</v>
      </c>
      <c r="I2339" s="196"/>
      <c r="J2339" s="196" t="s">
        <v>29</v>
      </c>
      <c r="K2339" s="196"/>
      <c r="L2339" s="196" t="str">
        <v/>
      </c>
      <c r="M2339" s="196"/>
    </row>
    <row r="2340" spans="1:13" ht="14.4" x14ac:dyDescent="0.3">
      <c r="A2340" s="189"/>
      <c r="B2340" s="197"/>
      <c r="C2340" s="189"/>
      <c r="D2340" s="189"/>
      <c r="E2340" s="189"/>
      <c r="F2340" s="189"/>
      <c r="G2340" s="189"/>
      <c r="H2340" s="196" t="s">
        <v>29</v>
      </c>
      <c r="I2340" s="196"/>
      <c r="J2340" s="196" t="s">
        <v>29</v>
      </c>
      <c r="K2340" s="196"/>
      <c r="L2340" s="196" t="str">
        <v/>
      </c>
      <c r="M2340" s="196"/>
    </row>
    <row r="2341" spans="1:13" ht="14.4" x14ac:dyDescent="0.3">
      <c r="A2341" s="189"/>
      <c r="B2341" s="197"/>
      <c r="C2341" s="189"/>
      <c r="D2341" s="189"/>
      <c r="E2341" s="189"/>
      <c r="F2341" s="189"/>
      <c r="G2341" s="189"/>
      <c r="H2341" s="196" t="s">
        <v>29</v>
      </c>
      <c r="I2341" s="196"/>
      <c r="J2341" s="196" t="s">
        <v>29</v>
      </c>
      <c r="K2341" s="196"/>
      <c r="L2341" s="196" t="str">
        <v/>
      </c>
      <c r="M2341" s="196"/>
    </row>
    <row r="2342" spans="1:13" ht="14.4" x14ac:dyDescent="0.3">
      <c r="A2342" s="189"/>
      <c r="B2342" s="197"/>
      <c r="C2342" s="189"/>
      <c r="D2342" s="189"/>
      <c r="E2342" s="189"/>
      <c r="F2342" s="189"/>
      <c r="G2342" s="189"/>
      <c r="H2342" s="196" t="s">
        <v>29</v>
      </c>
      <c r="I2342" s="196"/>
      <c r="J2342" s="196" t="s">
        <v>29</v>
      </c>
      <c r="K2342" s="196"/>
      <c r="L2342" s="196" t="str">
        <v/>
      </c>
      <c r="M2342" s="196"/>
    </row>
    <row r="2343" spans="1:13" ht="14.4" x14ac:dyDescent="0.3">
      <c r="A2343" s="189"/>
      <c r="B2343" s="197"/>
      <c r="C2343" s="189"/>
      <c r="D2343" s="189"/>
      <c r="E2343" s="189"/>
      <c r="F2343" s="189"/>
      <c r="G2343" s="189"/>
      <c r="H2343" s="196" t="s">
        <v>29</v>
      </c>
      <c r="I2343" s="196"/>
      <c r="J2343" s="196" t="s">
        <v>29</v>
      </c>
      <c r="K2343" s="196"/>
      <c r="L2343" s="196" t="str">
        <v/>
      </c>
      <c r="M2343" s="196"/>
    </row>
    <row r="2344" spans="1:13" ht="14.4" x14ac:dyDescent="0.3">
      <c r="A2344" s="189"/>
      <c r="B2344" s="197"/>
      <c r="C2344" s="189"/>
      <c r="D2344" s="189"/>
      <c r="E2344" s="189"/>
      <c r="F2344" s="189"/>
      <c r="G2344" s="189"/>
      <c r="H2344" s="196" t="s">
        <v>29</v>
      </c>
      <c r="I2344" s="196"/>
      <c r="J2344" s="196" t="s">
        <v>29</v>
      </c>
      <c r="K2344" s="196"/>
      <c r="L2344" s="196" t="str">
        <v/>
      </c>
      <c r="M2344" s="196"/>
    </row>
    <row r="2345" spans="1:13" ht="14.4" x14ac:dyDescent="0.3">
      <c r="A2345" s="189"/>
      <c r="B2345" s="197"/>
      <c r="C2345" s="189"/>
      <c r="D2345" s="189"/>
      <c r="E2345" s="189"/>
      <c r="F2345" s="189"/>
      <c r="G2345" s="189"/>
      <c r="H2345" s="196" t="s">
        <v>29</v>
      </c>
      <c r="I2345" s="196"/>
      <c r="J2345" s="196" t="s">
        <v>29</v>
      </c>
      <c r="K2345" s="196"/>
      <c r="L2345" s="196" t="str">
        <v/>
      </c>
      <c r="M2345" s="196"/>
    </row>
    <row r="2346" spans="1:13" ht="14.4" x14ac:dyDescent="0.3">
      <c r="A2346" s="189"/>
      <c r="B2346" s="197"/>
      <c r="C2346" s="189"/>
      <c r="D2346" s="189"/>
      <c r="E2346" s="189"/>
      <c r="F2346" s="189"/>
      <c r="G2346" s="189"/>
      <c r="H2346" s="196" t="s">
        <v>29</v>
      </c>
      <c r="I2346" s="196"/>
      <c r="J2346" s="196" t="s">
        <v>29</v>
      </c>
      <c r="K2346" s="196"/>
      <c r="L2346" s="196" t="str">
        <v/>
      </c>
      <c r="M2346" s="196"/>
    </row>
    <row r="2347" spans="1:13" ht="14.4" x14ac:dyDescent="0.3">
      <c r="A2347" s="189"/>
      <c r="B2347" s="197"/>
      <c r="C2347" s="189"/>
      <c r="D2347" s="189"/>
      <c r="E2347" s="189"/>
      <c r="F2347" s="189"/>
      <c r="G2347" s="189"/>
      <c r="H2347" s="196" t="s">
        <v>29</v>
      </c>
      <c r="I2347" s="196"/>
      <c r="J2347" s="196" t="s">
        <v>29</v>
      </c>
      <c r="K2347" s="196"/>
      <c r="L2347" s="196" t="str">
        <v/>
      </c>
      <c r="M2347" s="196"/>
    </row>
    <row r="2348" spans="1:13" ht="14.4" x14ac:dyDescent="0.3">
      <c r="A2348" s="189"/>
      <c r="B2348" s="197"/>
      <c r="C2348" s="189"/>
      <c r="D2348" s="189"/>
      <c r="E2348" s="189"/>
      <c r="F2348" s="189"/>
      <c r="G2348" s="189"/>
      <c r="H2348" s="196" t="s">
        <v>29</v>
      </c>
      <c r="I2348" s="196"/>
      <c r="J2348" s="196" t="s">
        <v>29</v>
      </c>
      <c r="K2348" s="196"/>
      <c r="L2348" s="196" t="str">
        <v/>
      </c>
      <c r="M2348" s="196"/>
    </row>
    <row r="2349" spans="1:13" ht="14.4" x14ac:dyDescent="0.3">
      <c r="A2349" s="189"/>
      <c r="B2349" s="197"/>
      <c r="C2349" s="189"/>
      <c r="D2349" s="189"/>
      <c r="E2349" s="189"/>
      <c r="F2349" s="189"/>
      <c r="G2349" s="189"/>
      <c r="H2349" s="196" t="s">
        <v>29</v>
      </c>
      <c r="I2349" s="196"/>
      <c r="J2349" s="196" t="s">
        <v>29</v>
      </c>
      <c r="K2349" s="196"/>
      <c r="L2349" s="196" t="str">
        <v/>
      </c>
      <c r="M2349" s="196"/>
    </row>
    <row r="2350" spans="1:13" ht="14.4" x14ac:dyDescent="0.3">
      <c r="A2350" s="189"/>
      <c r="B2350" s="197"/>
      <c r="C2350" s="189"/>
      <c r="D2350" s="189"/>
      <c r="E2350" s="189"/>
      <c r="F2350" s="189"/>
      <c r="G2350" s="189"/>
      <c r="H2350" s="196" t="s">
        <v>29</v>
      </c>
      <c r="I2350" s="196"/>
      <c r="J2350" s="196" t="s">
        <v>29</v>
      </c>
      <c r="K2350" s="196"/>
      <c r="L2350" s="196" t="str">
        <v/>
      </c>
      <c r="M2350" s="196"/>
    </row>
    <row r="2351" spans="1:13" ht="14.4" x14ac:dyDescent="0.3">
      <c r="A2351" s="189"/>
      <c r="B2351" s="197"/>
      <c r="C2351" s="189"/>
      <c r="D2351" s="189"/>
      <c r="E2351" s="189"/>
      <c r="F2351" s="189"/>
      <c r="G2351" s="189"/>
      <c r="H2351" s="196" t="s">
        <v>29</v>
      </c>
      <c r="I2351" s="196"/>
      <c r="J2351" s="196" t="s">
        <v>29</v>
      </c>
      <c r="K2351" s="196"/>
      <c r="L2351" s="196" t="str">
        <v/>
      </c>
      <c r="M2351" s="196"/>
    </row>
    <row r="2352" spans="1:13" ht="14.4" x14ac:dyDescent="0.3">
      <c r="A2352" s="189"/>
      <c r="B2352" s="197"/>
      <c r="C2352" s="189"/>
      <c r="D2352" s="189"/>
      <c r="E2352" s="189"/>
      <c r="F2352" s="189"/>
      <c r="G2352" s="189"/>
      <c r="H2352" s="196" t="s">
        <v>29</v>
      </c>
      <c r="I2352" s="196"/>
      <c r="J2352" s="196" t="s">
        <v>29</v>
      </c>
      <c r="K2352" s="196"/>
      <c r="L2352" s="196" t="str">
        <v/>
      </c>
      <c r="M2352" s="196"/>
    </row>
    <row r="2353" spans="1:13" ht="14.4" x14ac:dyDescent="0.3">
      <c r="A2353" s="189"/>
      <c r="B2353" s="197"/>
      <c r="C2353" s="189"/>
      <c r="D2353" s="189"/>
      <c r="E2353" s="189"/>
      <c r="F2353" s="189"/>
      <c r="G2353" s="189"/>
      <c r="H2353" s="196" t="s">
        <v>29</v>
      </c>
      <c r="I2353" s="196"/>
      <c r="J2353" s="196" t="s">
        <v>29</v>
      </c>
      <c r="K2353" s="196"/>
      <c r="L2353" s="196" t="str">
        <v/>
      </c>
      <c r="M2353" s="196"/>
    </row>
    <row r="2354" spans="1:13" ht="14.4" x14ac:dyDescent="0.3">
      <c r="A2354" s="189"/>
      <c r="B2354" s="197"/>
      <c r="C2354" s="189"/>
      <c r="D2354" s="189"/>
      <c r="E2354" s="189"/>
      <c r="F2354" s="189"/>
      <c r="G2354" s="189"/>
      <c r="H2354" s="196" t="s">
        <v>29</v>
      </c>
      <c r="I2354" s="196"/>
      <c r="J2354" s="196" t="s">
        <v>29</v>
      </c>
      <c r="K2354" s="196"/>
      <c r="L2354" s="196" t="str">
        <v/>
      </c>
      <c r="M2354" s="196"/>
    </row>
    <row r="2355" spans="1:13" ht="14.4" x14ac:dyDescent="0.3">
      <c r="A2355" s="189"/>
      <c r="B2355" s="197"/>
      <c r="C2355" s="189"/>
      <c r="D2355" s="189"/>
      <c r="E2355" s="189"/>
      <c r="F2355" s="189"/>
      <c r="G2355" s="189"/>
      <c r="H2355" s="196" t="s">
        <v>29</v>
      </c>
      <c r="I2355" s="196"/>
      <c r="J2355" s="196" t="s">
        <v>29</v>
      </c>
      <c r="K2355" s="196"/>
      <c r="L2355" s="196" t="str">
        <v/>
      </c>
      <c r="M2355" s="196"/>
    </row>
    <row r="2356" spans="1:13" ht="14.4" x14ac:dyDescent="0.3">
      <c r="A2356" s="189"/>
      <c r="B2356" s="197"/>
      <c r="C2356" s="189"/>
      <c r="D2356" s="189"/>
      <c r="E2356" s="189"/>
      <c r="F2356" s="189"/>
      <c r="G2356" s="189"/>
      <c r="H2356" s="196" t="s">
        <v>29</v>
      </c>
      <c r="I2356" s="196"/>
      <c r="J2356" s="196" t="s">
        <v>29</v>
      </c>
      <c r="K2356" s="196"/>
      <c r="L2356" s="196" t="str">
        <v/>
      </c>
      <c r="M2356" s="196"/>
    </row>
    <row r="2357" spans="1:13" ht="14.4" x14ac:dyDescent="0.3">
      <c r="A2357" s="189"/>
      <c r="B2357" s="197"/>
      <c r="C2357" s="189"/>
      <c r="D2357" s="189"/>
      <c r="E2357" s="189"/>
      <c r="F2357" s="189"/>
      <c r="G2357" s="189"/>
      <c r="H2357" s="196" t="s">
        <v>29</v>
      </c>
      <c r="I2357" s="196"/>
      <c r="J2357" s="196" t="s">
        <v>29</v>
      </c>
      <c r="K2357" s="196"/>
      <c r="L2357" s="196" t="str">
        <v/>
      </c>
      <c r="M2357" s="196"/>
    </row>
    <row r="2358" spans="1:13" ht="14.4" x14ac:dyDescent="0.3">
      <c r="A2358" s="189"/>
      <c r="B2358" s="197"/>
      <c r="C2358" s="189"/>
      <c r="D2358" s="189"/>
      <c r="E2358" s="189"/>
      <c r="F2358" s="189"/>
      <c r="G2358" s="189"/>
      <c r="H2358" s="196" t="s">
        <v>29</v>
      </c>
      <c r="I2358" s="196"/>
      <c r="J2358" s="196" t="s">
        <v>29</v>
      </c>
      <c r="K2358" s="196"/>
      <c r="L2358" s="196" t="str">
        <v/>
      </c>
      <c r="M2358" s="196"/>
    </row>
    <row r="2359" spans="1:13" ht="14.4" x14ac:dyDescent="0.3">
      <c r="A2359" s="189"/>
      <c r="B2359" s="197"/>
      <c r="C2359" s="189"/>
      <c r="D2359" s="189"/>
      <c r="E2359" s="189"/>
      <c r="F2359" s="189"/>
      <c r="G2359" s="189"/>
      <c r="H2359" s="196" t="s">
        <v>29</v>
      </c>
      <c r="I2359" s="196"/>
      <c r="J2359" s="196" t="s">
        <v>29</v>
      </c>
      <c r="K2359" s="196"/>
      <c r="L2359" s="196" t="str">
        <v/>
      </c>
      <c r="M2359" s="196"/>
    </row>
    <row r="2360" spans="1:13" ht="14.4" x14ac:dyDescent="0.3">
      <c r="A2360" s="189"/>
      <c r="B2360" s="197"/>
      <c r="C2360" s="189"/>
      <c r="D2360" s="189"/>
      <c r="E2360" s="189"/>
      <c r="F2360" s="189"/>
      <c r="G2360" s="189"/>
      <c r="H2360" s="196" t="s">
        <v>29</v>
      </c>
      <c r="I2360" s="196"/>
      <c r="J2360" s="196" t="s">
        <v>29</v>
      </c>
      <c r="K2360" s="196"/>
      <c r="L2360" s="196" t="str">
        <v/>
      </c>
      <c r="M2360" s="196"/>
    </row>
    <row r="2361" spans="1:13" ht="14.4" x14ac:dyDescent="0.3">
      <c r="A2361" s="189"/>
      <c r="B2361" s="197"/>
      <c r="C2361" s="189"/>
      <c r="D2361" s="189"/>
      <c r="E2361" s="189"/>
      <c r="F2361" s="189"/>
      <c r="G2361" s="189"/>
      <c r="H2361" s="196" t="s">
        <v>29</v>
      </c>
      <c r="I2361" s="196"/>
      <c r="J2361" s="196" t="s">
        <v>29</v>
      </c>
      <c r="K2361" s="196"/>
      <c r="L2361" s="196" t="str">
        <v/>
      </c>
      <c r="M2361" s="196"/>
    </row>
    <row r="2362" spans="1:13" ht="14.4" x14ac:dyDescent="0.3">
      <c r="A2362" s="189"/>
      <c r="B2362" s="197"/>
      <c r="C2362" s="189"/>
      <c r="D2362" s="189"/>
      <c r="E2362" s="189"/>
      <c r="F2362" s="189"/>
      <c r="G2362" s="189"/>
      <c r="H2362" s="196" t="s">
        <v>29</v>
      </c>
      <c r="I2362" s="196"/>
      <c r="J2362" s="196" t="s">
        <v>29</v>
      </c>
      <c r="K2362" s="196"/>
      <c r="L2362" s="196" t="str">
        <v/>
      </c>
      <c r="M2362" s="196"/>
    </row>
    <row r="2363" spans="1:13" ht="14.4" x14ac:dyDescent="0.3">
      <c r="A2363" s="189"/>
      <c r="B2363" s="197"/>
      <c r="C2363" s="189"/>
      <c r="D2363" s="189"/>
      <c r="E2363" s="189"/>
      <c r="F2363" s="189"/>
      <c r="G2363" s="189"/>
      <c r="H2363" s="196" t="s">
        <v>29</v>
      </c>
      <c r="I2363" s="196"/>
      <c r="J2363" s="196" t="s">
        <v>29</v>
      </c>
      <c r="K2363" s="196"/>
      <c r="L2363" s="196" t="str">
        <v/>
      </c>
      <c r="M2363" s="196"/>
    </row>
    <row r="2364" spans="1:13" ht="14.4" x14ac:dyDescent="0.3">
      <c r="A2364" s="189"/>
      <c r="B2364" s="197"/>
      <c r="C2364" s="189"/>
      <c r="D2364" s="189"/>
      <c r="E2364" s="189"/>
      <c r="F2364" s="189"/>
      <c r="G2364" s="189"/>
      <c r="H2364" s="196" t="s">
        <v>29</v>
      </c>
      <c r="I2364" s="196"/>
      <c r="J2364" s="196" t="s">
        <v>29</v>
      </c>
      <c r="K2364" s="196"/>
      <c r="L2364" s="196" t="str">
        <v/>
      </c>
      <c r="M2364" s="196"/>
    </row>
    <row r="2365" spans="1:13" ht="14.4" x14ac:dyDescent="0.3">
      <c r="A2365" s="189"/>
      <c r="B2365" s="197"/>
      <c r="C2365" s="189"/>
      <c r="D2365" s="189"/>
      <c r="E2365" s="189"/>
      <c r="F2365" s="189"/>
      <c r="G2365" s="189"/>
      <c r="H2365" s="196" t="s">
        <v>29</v>
      </c>
      <c r="I2365" s="196"/>
      <c r="J2365" s="196" t="s">
        <v>29</v>
      </c>
      <c r="K2365" s="196"/>
      <c r="L2365" s="196" t="str">
        <v/>
      </c>
      <c r="M2365" s="196"/>
    </row>
    <row r="2366" spans="1:13" ht="14.4" x14ac:dyDescent="0.3">
      <c r="A2366" s="189"/>
      <c r="B2366" s="197"/>
      <c r="C2366" s="189"/>
      <c r="D2366" s="189"/>
      <c r="E2366" s="189"/>
      <c r="F2366" s="189"/>
      <c r="G2366" s="189"/>
      <c r="H2366" s="196" t="s">
        <v>29</v>
      </c>
      <c r="I2366" s="196"/>
      <c r="J2366" s="196" t="s">
        <v>29</v>
      </c>
      <c r="K2366" s="196"/>
      <c r="L2366" s="196" t="str">
        <v/>
      </c>
      <c r="M2366" s="196"/>
    </row>
    <row r="2367" spans="1:13" ht="14.4" x14ac:dyDescent="0.3">
      <c r="A2367" s="189"/>
      <c r="B2367" s="197"/>
      <c r="C2367" s="189"/>
      <c r="D2367" s="189"/>
      <c r="E2367" s="189"/>
      <c r="F2367" s="189"/>
      <c r="G2367" s="189"/>
      <c r="H2367" s="196" t="s">
        <v>29</v>
      </c>
      <c r="I2367" s="196"/>
      <c r="J2367" s="196" t="s">
        <v>29</v>
      </c>
      <c r="K2367" s="196"/>
      <c r="L2367" s="196" t="str">
        <v/>
      </c>
      <c r="M2367" s="196"/>
    </row>
    <row r="2368" spans="1:13" ht="14.4" x14ac:dyDescent="0.3">
      <c r="A2368" s="189"/>
      <c r="B2368" s="197"/>
      <c r="C2368" s="189"/>
      <c r="D2368" s="189"/>
      <c r="E2368" s="189"/>
      <c r="F2368" s="189"/>
      <c r="G2368" s="189"/>
      <c r="H2368" s="196" t="s">
        <v>29</v>
      </c>
      <c r="I2368" s="196"/>
      <c r="J2368" s="196" t="s">
        <v>29</v>
      </c>
      <c r="K2368" s="196"/>
      <c r="L2368" s="196" t="str">
        <v/>
      </c>
      <c r="M2368" s="196"/>
    </row>
    <row r="2369" spans="1:13" ht="14.4" x14ac:dyDescent="0.3">
      <c r="A2369" s="189"/>
      <c r="B2369" s="197"/>
      <c r="C2369" s="189"/>
      <c r="D2369" s="189"/>
      <c r="E2369" s="189"/>
      <c r="F2369" s="189"/>
      <c r="G2369" s="189"/>
      <c r="H2369" s="196" t="s">
        <v>29</v>
      </c>
      <c r="I2369" s="196"/>
      <c r="J2369" s="196" t="s">
        <v>29</v>
      </c>
      <c r="K2369" s="196"/>
      <c r="L2369" s="196" t="str">
        <v/>
      </c>
      <c r="M2369" s="196"/>
    </row>
    <row r="2370" spans="1:13" ht="14.4" x14ac:dyDescent="0.3">
      <c r="A2370" s="189"/>
      <c r="B2370" s="197"/>
      <c r="C2370" s="189"/>
      <c r="D2370" s="189"/>
      <c r="E2370" s="189"/>
      <c r="F2370" s="189"/>
      <c r="G2370" s="189"/>
      <c r="H2370" s="196" t="s">
        <v>29</v>
      </c>
      <c r="I2370" s="196"/>
      <c r="J2370" s="196" t="s">
        <v>29</v>
      </c>
      <c r="K2370" s="196"/>
      <c r="L2370" s="196" t="str">
        <v/>
      </c>
      <c r="M2370" s="196"/>
    </row>
    <row r="2371" spans="1:13" ht="14.4" x14ac:dyDescent="0.3">
      <c r="A2371" s="189"/>
      <c r="B2371" s="197"/>
      <c r="C2371" s="189"/>
      <c r="D2371" s="189"/>
      <c r="E2371" s="189"/>
      <c r="F2371" s="189"/>
      <c r="G2371" s="189"/>
      <c r="H2371" s="196" t="s">
        <v>29</v>
      </c>
      <c r="I2371" s="196"/>
      <c r="J2371" s="196" t="s">
        <v>29</v>
      </c>
      <c r="K2371" s="196"/>
      <c r="L2371" s="196" t="str">
        <v/>
      </c>
      <c r="M2371" s="196"/>
    </row>
    <row r="2372" spans="1:13" ht="14.4" x14ac:dyDescent="0.3">
      <c r="A2372" s="189"/>
      <c r="B2372" s="197"/>
      <c r="C2372" s="189"/>
      <c r="D2372" s="189"/>
      <c r="E2372" s="189"/>
      <c r="F2372" s="189"/>
      <c r="G2372" s="189"/>
      <c r="H2372" s="196" t="s">
        <v>29</v>
      </c>
      <c r="I2372" s="196"/>
      <c r="J2372" s="196" t="s">
        <v>29</v>
      </c>
      <c r="K2372" s="196"/>
      <c r="L2372" s="196" t="str">
        <v/>
      </c>
      <c r="M2372" s="196"/>
    </row>
    <row r="2373" spans="1:13" ht="14.4" x14ac:dyDescent="0.3">
      <c r="A2373" s="189"/>
      <c r="B2373" s="197"/>
      <c r="C2373" s="189"/>
      <c r="D2373" s="189"/>
      <c r="E2373" s="189"/>
      <c r="F2373" s="189"/>
      <c r="G2373" s="189"/>
      <c r="H2373" s="196" t="s">
        <v>29</v>
      </c>
      <c r="I2373" s="196"/>
      <c r="J2373" s="196" t="s">
        <v>29</v>
      </c>
      <c r="K2373" s="196"/>
      <c r="L2373" s="196" t="str">
        <v/>
      </c>
      <c r="M2373" s="196"/>
    </row>
    <row r="2374" spans="1:13" ht="14.4" x14ac:dyDescent="0.3">
      <c r="A2374" s="189"/>
      <c r="B2374" s="197"/>
      <c r="C2374" s="189"/>
      <c r="D2374" s="189"/>
      <c r="E2374" s="189"/>
      <c r="F2374" s="189"/>
      <c r="G2374" s="189"/>
      <c r="H2374" s="196" t="s">
        <v>29</v>
      </c>
      <c r="I2374" s="196"/>
      <c r="J2374" s="196" t="s">
        <v>29</v>
      </c>
      <c r="K2374" s="196"/>
      <c r="L2374" s="196" t="str">
        <v/>
      </c>
      <c r="M2374" s="196"/>
    </row>
    <row r="2375" spans="1:13" ht="14.4" x14ac:dyDescent="0.3">
      <c r="A2375" s="189"/>
      <c r="B2375" s="197"/>
      <c r="C2375" s="189"/>
      <c r="D2375" s="189"/>
      <c r="E2375" s="189"/>
      <c r="F2375" s="189"/>
      <c r="G2375" s="189"/>
      <c r="H2375" s="196" t="s">
        <v>29</v>
      </c>
      <c r="I2375" s="196"/>
      <c r="J2375" s="196" t="s">
        <v>29</v>
      </c>
      <c r="K2375" s="196"/>
      <c r="L2375" s="196" t="str">
        <v/>
      </c>
      <c r="M2375" s="196"/>
    </row>
    <row r="2376" spans="1:13" ht="14.4" x14ac:dyDescent="0.3">
      <c r="A2376" s="189"/>
      <c r="B2376" s="197"/>
      <c r="C2376" s="189"/>
      <c r="D2376" s="189"/>
      <c r="E2376" s="189"/>
      <c r="F2376" s="189"/>
      <c r="G2376" s="189"/>
      <c r="H2376" s="196" t="s">
        <v>29</v>
      </c>
      <c r="I2376" s="196"/>
      <c r="J2376" s="196" t="s">
        <v>29</v>
      </c>
      <c r="K2376" s="196"/>
      <c r="L2376" s="196" t="str">
        <v/>
      </c>
      <c r="M2376" s="196"/>
    </row>
    <row r="2377" spans="1:13" ht="14.4" x14ac:dyDescent="0.3">
      <c r="A2377" s="189"/>
      <c r="B2377" s="197"/>
      <c r="C2377" s="189"/>
      <c r="D2377" s="189"/>
      <c r="E2377" s="189"/>
      <c r="F2377" s="189"/>
      <c r="G2377" s="189"/>
      <c r="H2377" s="196" t="s">
        <v>29</v>
      </c>
      <c r="I2377" s="196"/>
      <c r="J2377" s="196" t="s">
        <v>29</v>
      </c>
      <c r="K2377" s="196"/>
      <c r="L2377" s="196" t="str">
        <v/>
      </c>
      <c r="M2377" s="196"/>
    </row>
    <row r="2378" spans="1:13" ht="14.4" x14ac:dyDescent="0.3">
      <c r="A2378" s="189"/>
      <c r="B2378" s="197"/>
      <c r="C2378" s="189"/>
      <c r="D2378" s="189"/>
      <c r="E2378" s="189"/>
      <c r="F2378" s="189"/>
      <c r="G2378" s="189"/>
      <c r="H2378" s="196" t="s">
        <v>29</v>
      </c>
      <c r="I2378" s="196"/>
      <c r="J2378" s="196" t="s">
        <v>29</v>
      </c>
      <c r="K2378" s="196"/>
      <c r="L2378" s="196" t="str">
        <v/>
      </c>
      <c r="M2378" s="196"/>
    </row>
    <row r="2379" spans="1:13" ht="14.4" x14ac:dyDescent="0.3">
      <c r="A2379" s="189"/>
      <c r="B2379" s="197"/>
      <c r="C2379" s="189"/>
      <c r="D2379" s="189"/>
      <c r="E2379" s="189"/>
      <c r="F2379" s="189"/>
      <c r="G2379" s="189"/>
      <c r="H2379" s="196" t="s">
        <v>29</v>
      </c>
      <c r="I2379" s="196"/>
      <c r="J2379" s="196" t="s">
        <v>29</v>
      </c>
      <c r="K2379" s="196"/>
      <c r="L2379" s="196" t="str">
        <v/>
      </c>
      <c r="M2379" s="196"/>
    </row>
    <row r="2380" spans="1:13" ht="14.4" x14ac:dyDescent="0.3">
      <c r="A2380" s="189"/>
      <c r="B2380" s="197"/>
      <c r="C2380" s="189"/>
      <c r="D2380" s="189"/>
      <c r="E2380" s="189"/>
      <c r="F2380" s="189"/>
      <c r="G2380" s="189"/>
      <c r="H2380" s="196" t="s">
        <v>29</v>
      </c>
      <c r="I2380" s="196"/>
      <c r="J2380" s="196" t="s">
        <v>29</v>
      </c>
      <c r="K2380" s="196"/>
      <c r="L2380" s="196" t="str">
        <v/>
      </c>
      <c r="M2380" s="196"/>
    </row>
    <row r="2381" spans="1:13" ht="14.4" x14ac:dyDescent="0.3">
      <c r="A2381" s="189"/>
      <c r="B2381" s="197"/>
      <c r="C2381" s="189"/>
      <c r="D2381" s="189"/>
      <c r="E2381" s="189"/>
      <c r="F2381" s="189"/>
      <c r="G2381" s="189"/>
      <c r="H2381" s="196" t="s">
        <v>29</v>
      </c>
      <c r="I2381" s="196"/>
      <c r="J2381" s="196" t="s">
        <v>29</v>
      </c>
      <c r="K2381" s="196"/>
      <c r="L2381" s="196" t="str">
        <v/>
      </c>
      <c r="M2381" s="196"/>
    </row>
    <row r="2382" spans="1:13" ht="14.4" x14ac:dyDescent="0.3">
      <c r="A2382" s="189"/>
      <c r="B2382" s="197"/>
      <c r="C2382" s="189"/>
      <c r="D2382" s="189"/>
      <c r="E2382" s="189"/>
      <c r="F2382" s="189"/>
      <c r="G2382" s="189"/>
      <c r="H2382" s="196" t="s">
        <v>29</v>
      </c>
      <c r="I2382" s="196"/>
      <c r="J2382" s="196" t="s">
        <v>29</v>
      </c>
      <c r="K2382" s="196"/>
      <c r="L2382" s="196" t="str">
        <v/>
      </c>
      <c r="M2382" s="196"/>
    </row>
    <row r="2383" spans="1:13" ht="14.4" x14ac:dyDescent="0.3">
      <c r="A2383" s="189"/>
      <c r="B2383" s="197"/>
      <c r="C2383" s="189"/>
      <c r="D2383" s="189"/>
      <c r="E2383" s="189"/>
      <c r="F2383" s="189"/>
      <c r="G2383" s="189"/>
      <c r="H2383" s="196" t="s">
        <v>29</v>
      </c>
      <c r="I2383" s="196"/>
      <c r="J2383" s="196" t="s">
        <v>29</v>
      </c>
      <c r="K2383" s="196"/>
      <c r="L2383" s="196" t="str">
        <v/>
      </c>
      <c r="M2383" s="196"/>
    </row>
    <row r="2384" spans="1:13" ht="14.4" x14ac:dyDescent="0.3">
      <c r="A2384" s="189"/>
      <c r="B2384" s="197"/>
      <c r="C2384" s="189"/>
      <c r="D2384" s="189"/>
      <c r="E2384" s="189"/>
      <c r="F2384" s="189"/>
      <c r="G2384" s="189"/>
      <c r="H2384" s="196" t="s">
        <v>29</v>
      </c>
      <c r="I2384" s="196"/>
      <c r="J2384" s="196" t="s">
        <v>29</v>
      </c>
      <c r="K2384" s="196"/>
      <c r="L2384" s="196" t="str">
        <v/>
      </c>
      <c r="M2384" s="196"/>
    </row>
    <row r="2385" spans="1:13" ht="14.4" x14ac:dyDescent="0.3">
      <c r="A2385" s="189"/>
      <c r="B2385" s="197"/>
      <c r="C2385" s="189"/>
      <c r="D2385" s="189"/>
      <c r="E2385" s="189"/>
      <c r="F2385" s="189"/>
      <c r="G2385" s="189"/>
      <c r="H2385" s="196" t="s">
        <v>29</v>
      </c>
      <c r="I2385" s="196"/>
      <c r="J2385" s="196" t="s">
        <v>29</v>
      </c>
      <c r="K2385" s="196"/>
      <c r="L2385" s="196" t="str">
        <v/>
      </c>
      <c r="M2385" s="196"/>
    </row>
    <row r="2386" spans="1:13" ht="14.4" x14ac:dyDescent="0.3">
      <c r="A2386" s="189"/>
      <c r="B2386" s="197"/>
      <c r="C2386" s="189"/>
      <c r="D2386" s="189"/>
      <c r="E2386" s="189"/>
      <c r="F2386" s="189"/>
      <c r="G2386" s="189"/>
      <c r="H2386" s="196" t="s">
        <v>29</v>
      </c>
      <c r="I2386" s="196"/>
      <c r="J2386" s="196" t="s">
        <v>29</v>
      </c>
      <c r="K2386" s="196"/>
      <c r="L2386" s="196" t="str">
        <v/>
      </c>
      <c r="M2386" s="196"/>
    </row>
    <row r="2387" spans="1:13" ht="14.4" x14ac:dyDescent="0.3">
      <c r="A2387" s="189"/>
      <c r="B2387" s="197"/>
      <c r="C2387" s="189"/>
      <c r="D2387" s="189"/>
      <c r="E2387" s="189"/>
      <c r="F2387" s="189"/>
      <c r="G2387" s="189"/>
      <c r="H2387" s="196" t="s">
        <v>29</v>
      </c>
      <c r="I2387" s="196"/>
      <c r="J2387" s="196" t="s">
        <v>29</v>
      </c>
      <c r="K2387" s="196"/>
      <c r="L2387" s="196" t="str">
        <v/>
      </c>
      <c r="M2387" s="196"/>
    </row>
    <row r="2388" spans="1:13" ht="14.4" x14ac:dyDescent="0.3">
      <c r="A2388" s="189"/>
      <c r="B2388" s="197"/>
      <c r="C2388" s="189"/>
      <c r="D2388" s="189"/>
      <c r="E2388" s="189"/>
      <c r="F2388" s="189"/>
      <c r="G2388" s="189"/>
      <c r="H2388" s="196" t="s">
        <v>29</v>
      </c>
      <c r="I2388" s="196"/>
      <c r="J2388" s="196" t="s">
        <v>29</v>
      </c>
      <c r="K2388" s="196"/>
      <c r="L2388" s="196" t="str">
        <v/>
      </c>
      <c r="M2388" s="196"/>
    </row>
    <row r="2389" spans="1:13" ht="14.4" x14ac:dyDescent="0.3">
      <c r="A2389" s="189"/>
      <c r="B2389" s="197"/>
      <c r="C2389" s="189"/>
      <c r="D2389" s="189"/>
      <c r="E2389" s="189"/>
      <c r="F2389" s="189"/>
      <c r="G2389" s="189"/>
      <c r="H2389" s="196" t="s">
        <v>29</v>
      </c>
      <c r="I2389" s="196"/>
      <c r="J2389" s="196" t="s">
        <v>29</v>
      </c>
      <c r="K2389" s="196"/>
      <c r="L2389" s="196" t="str">
        <v/>
      </c>
      <c r="M2389" s="196"/>
    </row>
    <row r="2390" spans="1:13" ht="14.4" x14ac:dyDescent="0.3">
      <c r="A2390" s="189"/>
      <c r="B2390" s="197"/>
      <c r="C2390" s="189"/>
      <c r="D2390" s="189"/>
      <c r="E2390" s="189"/>
      <c r="F2390" s="189"/>
      <c r="G2390" s="189"/>
      <c r="H2390" s="196" t="s">
        <v>29</v>
      </c>
      <c r="I2390" s="196"/>
      <c r="J2390" s="196" t="s">
        <v>29</v>
      </c>
      <c r="K2390" s="196"/>
      <c r="L2390" s="196" t="str">
        <v/>
      </c>
      <c r="M2390" s="196"/>
    </row>
    <row r="2391" spans="1:13" ht="14.4" x14ac:dyDescent="0.3">
      <c r="A2391" s="189"/>
      <c r="B2391" s="197"/>
      <c r="C2391" s="189"/>
      <c r="D2391" s="189"/>
      <c r="E2391" s="189"/>
      <c r="F2391" s="189"/>
      <c r="G2391" s="189"/>
      <c r="H2391" s="196" t="s">
        <v>29</v>
      </c>
      <c r="I2391" s="196"/>
      <c r="J2391" s="196" t="s">
        <v>29</v>
      </c>
      <c r="K2391" s="196"/>
      <c r="L2391" s="196" t="str">
        <v/>
      </c>
      <c r="M2391" s="196"/>
    </row>
    <row r="2392" spans="1:13" ht="14.4" x14ac:dyDescent="0.3">
      <c r="A2392" s="189"/>
      <c r="B2392" s="197"/>
      <c r="C2392" s="189"/>
      <c r="D2392" s="189"/>
      <c r="E2392" s="189"/>
      <c r="F2392" s="189"/>
      <c r="G2392" s="189"/>
      <c r="H2392" s="196" t="s">
        <v>29</v>
      </c>
      <c r="I2392" s="196"/>
      <c r="J2392" s="196" t="s">
        <v>29</v>
      </c>
      <c r="K2392" s="196"/>
      <c r="L2392" s="196" t="str">
        <v/>
      </c>
      <c r="M2392" s="196"/>
    </row>
    <row r="2393" spans="1:13" ht="14.4" x14ac:dyDescent="0.3">
      <c r="A2393" s="189"/>
      <c r="B2393" s="197"/>
      <c r="C2393" s="189"/>
      <c r="D2393" s="189"/>
      <c r="E2393" s="189"/>
      <c r="F2393" s="189"/>
      <c r="G2393" s="189"/>
      <c r="H2393" s="196" t="s">
        <v>29</v>
      </c>
      <c r="I2393" s="196"/>
      <c r="J2393" s="196" t="s">
        <v>29</v>
      </c>
      <c r="K2393" s="196"/>
      <c r="L2393" s="196" t="str">
        <v/>
      </c>
      <c r="M2393" s="196"/>
    </row>
    <row r="2394" spans="1:13" ht="14.4" x14ac:dyDescent="0.3">
      <c r="A2394" s="189"/>
      <c r="B2394" s="197"/>
      <c r="C2394" s="189"/>
      <c r="D2394" s="189"/>
      <c r="E2394" s="189"/>
      <c r="F2394" s="189"/>
      <c r="G2394" s="189"/>
      <c r="H2394" s="196" t="s">
        <v>29</v>
      </c>
      <c r="I2394" s="196"/>
      <c r="J2394" s="196" t="s">
        <v>29</v>
      </c>
      <c r="K2394" s="196"/>
      <c r="L2394" s="196" t="str">
        <v/>
      </c>
      <c r="M2394" s="196"/>
    </row>
    <row r="2395" spans="1:13" ht="14.4" x14ac:dyDescent="0.3">
      <c r="A2395" s="189"/>
      <c r="B2395" s="197"/>
      <c r="C2395" s="189"/>
      <c r="D2395" s="189"/>
      <c r="E2395" s="189"/>
      <c r="F2395" s="189"/>
      <c r="G2395" s="189"/>
      <c r="H2395" s="196" t="s">
        <v>29</v>
      </c>
      <c r="I2395" s="196"/>
      <c r="J2395" s="196" t="s">
        <v>29</v>
      </c>
      <c r="K2395" s="196"/>
      <c r="L2395" s="196" t="str">
        <v/>
      </c>
      <c r="M2395" s="196"/>
    </row>
    <row r="2396" spans="1:13" ht="14.4" x14ac:dyDescent="0.3">
      <c r="A2396" s="189"/>
      <c r="B2396" s="197"/>
      <c r="C2396" s="189"/>
      <c r="D2396" s="189"/>
      <c r="E2396" s="189"/>
      <c r="F2396" s="189"/>
      <c r="G2396" s="189"/>
      <c r="H2396" s="196" t="s">
        <v>29</v>
      </c>
      <c r="I2396" s="196"/>
      <c r="J2396" s="196" t="s">
        <v>29</v>
      </c>
      <c r="K2396" s="196"/>
      <c r="L2396" s="196" t="str">
        <v/>
      </c>
      <c r="M2396" s="196"/>
    </row>
    <row r="2397" spans="1:13" ht="14.4" x14ac:dyDescent="0.3">
      <c r="A2397" s="189"/>
      <c r="B2397" s="197"/>
      <c r="C2397" s="189"/>
      <c r="D2397" s="189"/>
      <c r="E2397" s="189"/>
      <c r="F2397" s="189"/>
      <c r="G2397" s="189"/>
      <c r="H2397" s="196" t="s">
        <v>29</v>
      </c>
      <c r="I2397" s="196"/>
      <c r="J2397" s="196" t="s">
        <v>29</v>
      </c>
      <c r="K2397" s="196"/>
      <c r="L2397" s="196" t="str">
        <v/>
      </c>
      <c r="M2397" s="196"/>
    </row>
    <row r="2398" spans="1:13" ht="14.4" x14ac:dyDescent="0.3">
      <c r="A2398" s="189"/>
      <c r="B2398" s="197"/>
      <c r="C2398" s="189"/>
      <c r="D2398" s="189"/>
      <c r="E2398" s="189"/>
      <c r="F2398" s="189"/>
      <c r="G2398" s="189"/>
      <c r="H2398" s="196" t="s">
        <v>29</v>
      </c>
      <c r="I2398" s="196"/>
      <c r="J2398" s="196" t="s">
        <v>29</v>
      </c>
      <c r="K2398" s="196"/>
      <c r="L2398" s="196" t="str">
        <v/>
      </c>
      <c r="M2398" s="196"/>
    </row>
    <row r="2399" spans="1:13" ht="14.4" x14ac:dyDescent="0.3">
      <c r="A2399" s="189"/>
      <c r="B2399" s="197"/>
      <c r="C2399" s="189"/>
      <c r="D2399" s="189"/>
      <c r="E2399" s="189"/>
      <c r="F2399" s="189"/>
      <c r="G2399" s="189"/>
      <c r="H2399" s="196" t="s">
        <v>29</v>
      </c>
      <c r="I2399" s="196"/>
      <c r="J2399" s="196" t="s">
        <v>29</v>
      </c>
      <c r="K2399" s="196"/>
      <c r="L2399" s="196" t="str">
        <v/>
      </c>
      <c r="M2399" s="196"/>
    </row>
    <row r="2400" spans="1:13" ht="14.4" x14ac:dyDescent="0.3">
      <c r="A2400" s="189"/>
      <c r="B2400" s="197"/>
      <c r="C2400" s="189"/>
      <c r="D2400" s="189"/>
      <c r="E2400" s="189"/>
      <c r="F2400" s="189"/>
      <c r="G2400" s="189"/>
      <c r="H2400" s="196" t="s">
        <v>29</v>
      </c>
      <c r="I2400" s="196"/>
      <c r="J2400" s="196" t="s">
        <v>29</v>
      </c>
      <c r="K2400" s="196"/>
      <c r="L2400" s="196" t="str">
        <v/>
      </c>
      <c r="M2400" s="196"/>
    </row>
    <row r="2401" spans="1:13" ht="14.4" x14ac:dyDescent="0.3">
      <c r="A2401" s="189"/>
      <c r="B2401" s="197"/>
      <c r="C2401" s="189"/>
      <c r="D2401" s="189"/>
      <c r="E2401" s="189"/>
      <c r="F2401" s="189"/>
      <c r="G2401" s="189"/>
      <c r="H2401" s="196" t="s">
        <v>29</v>
      </c>
      <c r="I2401" s="196"/>
      <c r="J2401" s="196" t="s">
        <v>29</v>
      </c>
      <c r="K2401" s="196"/>
      <c r="L2401" s="196" t="str">
        <v/>
      </c>
      <c r="M2401" s="196"/>
    </row>
    <row r="2402" spans="1:13" ht="14.4" x14ac:dyDescent="0.3">
      <c r="A2402" s="189"/>
      <c r="B2402" s="197"/>
      <c r="C2402" s="189"/>
      <c r="D2402" s="189"/>
      <c r="E2402" s="189"/>
      <c r="F2402" s="189"/>
      <c r="G2402" s="189"/>
      <c r="H2402" s="196" t="s">
        <v>29</v>
      </c>
      <c r="I2402" s="196"/>
      <c r="J2402" s="196" t="s">
        <v>29</v>
      </c>
      <c r="K2402" s="196"/>
      <c r="L2402" s="196" t="str">
        <v/>
      </c>
      <c r="M2402" s="196"/>
    </row>
    <row r="2403" spans="1:13" ht="14.4" x14ac:dyDescent="0.3">
      <c r="A2403" s="189"/>
      <c r="B2403" s="197"/>
      <c r="C2403" s="189"/>
      <c r="D2403" s="189"/>
      <c r="E2403" s="189"/>
      <c r="F2403" s="189"/>
      <c r="G2403" s="189"/>
      <c r="H2403" s="196" t="s">
        <v>29</v>
      </c>
      <c r="I2403" s="196"/>
      <c r="J2403" s="196" t="s">
        <v>29</v>
      </c>
      <c r="K2403" s="196"/>
      <c r="L2403" s="196" t="str">
        <v/>
      </c>
      <c r="M2403" s="196"/>
    </row>
    <row r="2404" spans="1:13" ht="14.4" x14ac:dyDescent="0.3">
      <c r="A2404" s="189"/>
      <c r="B2404" s="197"/>
      <c r="C2404" s="189"/>
      <c r="D2404" s="189"/>
      <c r="E2404" s="189"/>
      <c r="F2404" s="189"/>
      <c r="G2404" s="189"/>
      <c r="H2404" s="196" t="s">
        <v>29</v>
      </c>
      <c r="I2404" s="196"/>
      <c r="J2404" s="196" t="s">
        <v>29</v>
      </c>
      <c r="K2404" s="196"/>
      <c r="L2404" s="196" t="str">
        <v/>
      </c>
      <c r="M2404" s="196"/>
    </row>
    <row r="2405" spans="1:13" ht="14.4" x14ac:dyDescent="0.3">
      <c r="A2405" s="189"/>
      <c r="B2405" s="197"/>
      <c r="C2405" s="189"/>
      <c r="D2405" s="189"/>
      <c r="E2405" s="189"/>
      <c r="F2405" s="189"/>
      <c r="G2405" s="189"/>
      <c r="H2405" s="196" t="s">
        <v>29</v>
      </c>
      <c r="I2405" s="196"/>
      <c r="J2405" s="196" t="s">
        <v>29</v>
      </c>
      <c r="K2405" s="196"/>
      <c r="L2405" s="196" t="str">
        <v/>
      </c>
      <c r="M2405" s="196"/>
    </row>
    <row r="2406" spans="1:13" ht="14.4" x14ac:dyDescent="0.3">
      <c r="A2406" s="189"/>
      <c r="B2406" s="197"/>
      <c r="C2406" s="189"/>
      <c r="D2406" s="189"/>
      <c r="E2406" s="189"/>
      <c r="F2406" s="189"/>
      <c r="G2406" s="189"/>
      <c r="H2406" s="196" t="s">
        <v>29</v>
      </c>
      <c r="I2406" s="196"/>
      <c r="J2406" s="196" t="s">
        <v>29</v>
      </c>
      <c r="K2406" s="196"/>
      <c r="L2406" s="196" t="str">
        <v/>
      </c>
      <c r="M2406" s="196"/>
    </row>
    <row r="2407" spans="1:13" ht="14.4" x14ac:dyDescent="0.3">
      <c r="A2407" s="189"/>
      <c r="B2407" s="197"/>
      <c r="C2407" s="189"/>
      <c r="D2407" s="189"/>
      <c r="E2407" s="189"/>
      <c r="F2407" s="189"/>
      <c r="G2407" s="189"/>
      <c r="H2407" s="196" t="s">
        <v>29</v>
      </c>
      <c r="I2407" s="196"/>
      <c r="J2407" s="196" t="s">
        <v>29</v>
      </c>
      <c r="K2407" s="196"/>
      <c r="L2407" s="196" t="str">
        <v/>
      </c>
      <c r="M2407" s="196"/>
    </row>
    <row r="2408" spans="1:13" ht="14.4" x14ac:dyDescent="0.3">
      <c r="A2408" s="189"/>
      <c r="B2408" s="197"/>
      <c r="C2408" s="189"/>
      <c r="D2408" s="189"/>
      <c r="E2408" s="189"/>
      <c r="F2408" s="189"/>
      <c r="G2408" s="189"/>
      <c r="H2408" s="196" t="s">
        <v>29</v>
      </c>
      <c r="I2408" s="196"/>
      <c r="J2408" s="196" t="s">
        <v>29</v>
      </c>
      <c r="K2408" s="196"/>
      <c r="L2408" s="196" t="str">
        <v/>
      </c>
      <c r="M2408" s="196"/>
    </row>
    <row r="2409" spans="1:13" ht="14.4" x14ac:dyDescent="0.3">
      <c r="A2409" s="189"/>
      <c r="B2409" s="197"/>
      <c r="C2409" s="189"/>
      <c r="D2409" s="189"/>
      <c r="E2409" s="189"/>
      <c r="F2409" s="189"/>
      <c r="G2409" s="189"/>
      <c r="H2409" s="196" t="s">
        <v>29</v>
      </c>
      <c r="I2409" s="196"/>
      <c r="J2409" s="196" t="s">
        <v>29</v>
      </c>
      <c r="K2409" s="196"/>
      <c r="L2409" s="196" t="str">
        <v/>
      </c>
      <c r="M2409" s="196"/>
    </row>
    <row r="2410" spans="1:13" ht="14.4" x14ac:dyDescent="0.3">
      <c r="A2410" s="189"/>
      <c r="B2410" s="197"/>
      <c r="C2410" s="189"/>
      <c r="D2410" s="189"/>
      <c r="E2410" s="189"/>
      <c r="F2410" s="189"/>
      <c r="G2410" s="189"/>
      <c r="H2410" s="196" t="s">
        <v>29</v>
      </c>
      <c r="I2410" s="196"/>
      <c r="J2410" s="196" t="s">
        <v>29</v>
      </c>
      <c r="K2410" s="196"/>
      <c r="L2410" s="196" t="str">
        <v/>
      </c>
      <c r="M2410" s="196"/>
    </row>
    <row r="2411" spans="1:13" ht="14.4" x14ac:dyDescent="0.3">
      <c r="A2411" s="189"/>
      <c r="B2411" s="197"/>
      <c r="C2411" s="189"/>
      <c r="D2411" s="189"/>
      <c r="E2411" s="189"/>
      <c r="F2411" s="189"/>
      <c r="G2411" s="189"/>
      <c r="H2411" s="196" t="s">
        <v>29</v>
      </c>
      <c r="I2411" s="196"/>
      <c r="J2411" s="196" t="s">
        <v>29</v>
      </c>
      <c r="K2411" s="196"/>
      <c r="L2411" s="196" t="str">
        <v/>
      </c>
      <c r="M2411" s="196"/>
    </row>
    <row r="2412" spans="1:13" ht="14.4" x14ac:dyDescent="0.3">
      <c r="A2412" s="189"/>
      <c r="B2412" s="197"/>
      <c r="C2412" s="189"/>
      <c r="D2412" s="189"/>
      <c r="E2412" s="189"/>
      <c r="F2412" s="189"/>
      <c r="G2412" s="189"/>
      <c r="H2412" s="196" t="s">
        <v>29</v>
      </c>
      <c r="I2412" s="196"/>
      <c r="J2412" s="196" t="s">
        <v>29</v>
      </c>
      <c r="K2412" s="196"/>
      <c r="L2412" s="196" t="str">
        <v/>
      </c>
      <c r="M2412" s="196"/>
    </row>
    <row r="2413" spans="1:13" ht="14.4" x14ac:dyDescent="0.3">
      <c r="A2413" s="189"/>
      <c r="B2413" s="197"/>
      <c r="C2413" s="189"/>
      <c r="D2413" s="189"/>
      <c r="E2413" s="189"/>
      <c r="F2413" s="189"/>
      <c r="G2413" s="189"/>
      <c r="H2413" s="196" t="s">
        <v>29</v>
      </c>
      <c r="I2413" s="196"/>
      <c r="J2413" s="196" t="s">
        <v>29</v>
      </c>
      <c r="K2413" s="196"/>
      <c r="L2413" s="196" t="str">
        <v/>
      </c>
      <c r="M2413" s="196"/>
    </row>
    <row r="2414" spans="1:13" ht="14.4" x14ac:dyDescent="0.3">
      <c r="A2414" s="189"/>
      <c r="B2414" s="197"/>
      <c r="C2414" s="189"/>
      <c r="D2414" s="189"/>
      <c r="E2414" s="189"/>
      <c r="F2414" s="189"/>
      <c r="G2414" s="189"/>
      <c r="H2414" s="196" t="s">
        <v>29</v>
      </c>
      <c r="I2414" s="196"/>
      <c r="J2414" s="196" t="s">
        <v>29</v>
      </c>
      <c r="K2414" s="196"/>
      <c r="L2414" s="196" t="str">
        <v/>
      </c>
      <c r="M2414" s="196"/>
    </row>
    <row r="2415" spans="1:13" ht="14.4" x14ac:dyDescent="0.3">
      <c r="A2415" s="189"/>
      <c r="B2415" s="197"/>
      <c r="C2415" s="189"/>
      <c r="D2415" s="189"/>
      <c r="E2415" s="189"/>
      <c r="F2415" s="189"/>
      <c r="G2415" s="189"/>
      <c r="H2415" s="196" t="s">
        <v>29</v>
      </c>
      <c r="I2415" s="196"/>
      <c r="J2415" s="196" t="s">
        <v>29</v>
      </c>
      <c r="K2415" s="196"/>
      <c r="L2415" s="196" t="str">
        <v/>
      </c>
      <c r="M2415" s="196"/>
    </row>
    <row r="2416" spans="1:13" ht="14.4" x14ac:dyDescent="0.3">
      <c r="A2416" s="189"/>
      <c r="B2416" s="197"/>
      <c r="C2416" s="189"/>
      <c r="D2416" s="189"/>
      <c r="E2416" s="189"/>
      <c r="F2416" s="189"/>
      <c r="G2416" s="189"/>
      <c r="H2416" s="196" t="s">
        <v>29</v>
      </c>
      <c r="I2416" s="196"/>
      <c r="J2416" s="196" t="s">
        <v>29</v>
      </c>
      <c r="K2416" s="196"/>
      <c r="L2416" s="196" t="str">
        <v/>
      </c>
      <c r="M2416" s="196"/>
    </row>
    <row r="2417" spans="1:13" ht="14.4" x14ac:dyDescent="0.3">
      <c r="A2417" s="189"/>
      <c r="B2417" s="197"/>
      <c r="C2417" s="189"/>
      <c r="D2417" s="189"/>
      <c r="E2417" s="189"/>
      <c r="F2417" s="189"/>
      <c r="G2417" s="189"/>
      <c r="H2417" s="196" t="s">
        <v>29</v>
      </c>
      <c r="I2417" s="196"/>
      <c r="J2417" s="196" t="s">
        <v>29</v>
      </c>
      <c r="K2417" s="196"/>
      <c r="L2417" s="196" t="str">
        <v/>
      </c>
      <c r="M2417" s="196"/>
    </row>
    <row r="2418" spans="1:13" ht="14.4" x14ac:dyDescent="0.3">
      <c r="A2418" s="189"/>
      <c r="B2418" s="197"/>
      <c r="C2418" s="189"/>
      <c r="D2418" s="189"/>
      <c r="E2418" s="189"/>
      <c r="F2418" s="189"/>
      <c r="G2418" s="189"/>
      <c r="H2418" s="196" t="s">
        <v>29</v>
      </c>
      <c r="I2418" s="196"/>
      <c r="J2418" s="196" t="s">
        <v>29</v>
      </c>
      <c r="K2418" s="196"/>
      <c r="L2418" s="196" t="str">
        <v/>
      </c>
      <c r="M2418" s="196"/>
    </row>
    <row r="2419" spans="1:13" ht="14.4" x14ac:dyDescent="0.3">
      <c r="A2419" s="189"/>
      <c r="B2419" s="197"/>
      <c r="C2419" s="189"/>
      <c r="D2419" s="189"/>
      <c r="E2419" s="189"/>
      <c r="F2419" s="189"/>
      <c r="G2419" s="189"/>
      <c r="H2419" s="196" t="s">
        <v>29</v>
      </c>
      <c r="I2419" s="196"/>
      <c r="J2419" s="196" t="s">
        <v>29</v>
      </c>
      <c r="K2419" s="196"/>
      <c r="L2419" s="196" t="str">
        <v/>
      </c>
      <c r="M2419" s="196"/>
    </row>
    <row r="2420" spans="1:13" ht="14.4" x14ac:dyDescent="0.3">
      <c r="A2420" s="189"/>
      <c r="B2420" s="197"/>
      <c r="C2420" s="189"/>
      <c r="D2420" s="189"/>
      <c r="E2420" s="189"/>
      <c r="F2420" s="189"/>
      <c r="G2420" s="189"/>
      <c r="H2420" s="196" t="s">
        <v>29</v>
      </c>
      <c r="I2420" s="196"/>
      <c r="J2420" s="196" t="s">
        <v>29</v>
      </c>
      <c r="K2420" s="196"/>
      <c r="L2420" s="196" t="str">
        <v/>
      </c>
      <c r="M2420" s="196"/>
    </row>
    <row r="2421" spans="1:13" ht="14.4" x14ac:dyDescent="0.3">
      <c r="A2421" s="189"/>
      <c r="B2421" s="197"/>
      <c r="C2421" s="189"/>
      <c r="D2421" s="189"/>
      <c r="E2421" s="189"/>
      <c r="F2421" s="189"/>
      <c r="G2421" s="189"/>
      <c r="H2421" s="196" t="s">
        <v>29</v>
      </c>
      <c r="I2421" s="196"/>
      <c r="J2421" s="196" t="s">
        <v>29</v>
      </c>
      <c r="K2421" s="196"/>
      <c r="L2421" s="196" t="str">
        <v/>
      </c>
      <c r="M2421" s="196"/>
    </row>
    <row r="2422" spans="1:13" ht="14.4" x14ac:dyDescent="0.3">
      <c r="A2422" s="189"/>
      <c r="B2422" s="197"/>
      <c r="C2422" s="189"/>
      <c r="D2422" s="189"/>
      <c r="E2422" s="189"/>
      <c r="F2422" s="189"/>
      <c r="G2422" s="189"/>
      <c r="H2422" s="196" t="s">
        <v>29</v>
      </c>
      <c r="I2422" s="196"/>
      <c r="J2422" s="196" t="s">
        <v>29</v>
      </c>
      <c r="K2422" s="196"/>
      <c r="L2422" s="196" t="str">
        <v/>
      </c>
      <c r="M2422" s="196"/>
    </row>
    <row r="2423" spans="1:13" ht="14.4" x14ac:dyDescent="0.3">
      <c r="A2423" s="189"/>
      <c r="B2423" s="197"/>
      <c r="C2423" s="189"/>
      <c r="D2423" s="189"/>
      <c r="E2423" s="189"/>
      <c r="F2423" s="189"/>
      <c r="G2423" s="189"/>
      <c r="H2423" s="196" t="s">
        <v>29</v>
      </c>
      <c r="I2423" s="196"/>
      <c r="J2423" s="196" t="s">
        <v>29</v>
      </c>
      <c r="K2423" s="196"/>
      <c r="L2423" s="196" t="str">
        <v/>
      </c>
      <c r="M2423" s="196"/>
    </row>
    <row r="2424" spans="1:13" ht="14.4" x14ac:dyDescent="0.3">
      <c r="A2424" s="189"/>
      <c r="B2424" s="197"/>
      <c r="C2424" s="189"/>
      <c r="D2424" s="189"/>
      <c r="E2424" s="189"/>
      <c r="F2424" s="189"/>
      <c r="G2424" s="189"/>
      <c r="H2424" s="196" t="s">
        <v>29</v>
      </c>
      <c r="I2424" s="196"/>
      <c r="J2424" s="196" t="s">
        <v>29</v>
      </c>
      <c r="K2424" s="196"/>
      <c r="L2424" s="196" t="str">
        <v/>
      </c>
      <c r="M2424" s="196"/>
    </row>
    <row r="2425" spans="1:13" ht="14.4" x14ac:dyDescent="0.3">
      <c r="A2425" s="189"/>
      <c r="B2425" s="197"/>
      <c r="C2425" s="189"/>
      <c r="D2425" s="189"/>
      <c r="E2425" s="189"/>
      <c r="F2425" s="189"/>
      <c r="G2425" s="189"/>
      <c r="H2425" s="196" t="s">
        <v>29</v>
      </c>
      <c r="I2425" s="196"/>
      <c r="J2425" s="196" t="s">
        <v>29</v>
      </c>
      <c r="K2425" s="196"/>
      <c r="L2425" s="196" t="str">
        <v/>
      </c>
      <c r="M2425" s="196"/>
    </row>
    <row r="2426" spans="1:13" ht="14.4" x14ac:dyDescent="0.3">
      <c r="A2426" s="189"/>
      <c r="B2426" s="197"/>
      <c r="C2426" s="189"/>
      <c r="D2426" s="189"/>
      <c r="E2426" s="189"/>
      <c r="F2426" s="189"/>
      <c r="G2426" s="189"/>
      <c r="H2426" s="196" t="s">
        <v>29</v>
      </c>
      <c r="I2426" s="196"/>
      <c r="J2426" s="196" t="s">
        <v>29</v>
      </c>
      <c r="K2426" s="196"/>
      <c r="L2426" s="196" t="str">
        <v/>
      </c>
      <c r="M2426" s="196"/>
    </row>
    <row r="2427" spans="1:13" ht="14.4" x14ac:dyDescent="0.3">
      <c r="A2427" s="189"/>
      <c r="B2427" s="197"/>
      <c r="C2427" s="189"/>
      <c r="D2427" s="189"/>
      <c r="E2427" s="189"/>
      <c r="F2427" s="189"/>
      <c r="G2427" s="189"/>
      <c r="H2427" s="196" t="s">
        <v>29</v>
      </c>
      <c r="I2427" s="196"/>
      <c r="J2427" s="196" t="s">
        <v>29</v>
      </c>
      <c r="K2427" s="196"/>
      <c r="L2427" s="196" t="str">
        <v/>
      </c>
      <c r="M2427" s="196"/>
    </row>
    <row r="2428" spans="1:13" ht="14.4" x14ac:dyDescent="0.3">
      <c r="A2428" s="189"/>
      <c r="B2428" s="197"/>
      <c r="C2428" s="189"/>
      <c r="D2428" s="189"/>
      <c r="E2428" s="189"/>
      <c r="F2428" s="189"/>
      <c r="G2428" s="189"/>
      <c r="H2428" s="196" t="s">
        <v>29</v>
      </c>
      <c r="I2428" s="196"/>
      <c r="J2428" s="196" t="s">
        <v>29</v>
      </c>
      <c r="K2428" s="196"/>
      <c r="L2428" s="196" t="str">
        <v/>
      </c>
      <c r="M2428" s="196"/>
    </row>
    <row r="2429" spans="1:13" ht="14.4" x14ac:dyDescent="0.3">
      <c r="A2429" s="189"/>
      <c r="B2429" s="197"/>
      <c r="C2429" s="189"/>
      <c r="D2429" s="189"/>
      <c r="E2429" s="189"/>
      <c r="F2429" s="189"/>
      <c r="G2429" s="189"/>
      <c r="H2429" s="196" t="s">
        <v>29</v>
      </c>
      <c r="I2429" s="196"/>
      <c r="J2429" s="196" t="s">
        <v>29</v>
      </c>
      <c r="K2429" s="196"/>
      <c r="L2429" s="196" t="str">
        <v/>
      </c>
      <c r="M2429" s="196"/>
    </row>
    <row r="2430" spans="1:13" ht="14.4" x14ac:dyDescent="0.3">
      <c r="A2430" s="189"/>
      <c r="B2430" s="197"/>
      <c r="C2430" s="189"/>
      <c r="D2430" s="189"/>
      <c r="E2430" s="189"/>
      <c r="F2430" s="189"/>
      <c r="G2430" s="189"/>
      <c r="H2430" s="196" t="s">
        <v>29</v>
      </c>
      <c r="I2430" s="196"/>
      <c r="J2430" s="196" t="s">
        <v>29</v>
      </c>
      <c r="K2430" s="196"/>
      <c r="L2430" s="196" t="str">
        <v/>
      </c>
      <c r="M2430" s="196"/>
    </row>
    <row r="2431" spans="1:13" ht="14.4" x14ac:dyDescent="0.3">
      <c r="A2431" s="189"/>
      <c r="B2431" s="197"/>
      <c r="C2431" s="189"/>
      <c r="D2431" s="189"/>
      <c r="E2431" s="189"/>
      <c r="F2431" s="189"/>
      <c r="G2431" s="189"/>
      <c r="H2431" s="196" t="s">
        <v>29</v>
      </c>
      <c r="I2431" s="196"/>
      <c r="J2431" s="196" t="s">
        <v>29</v>
      </c>
      <c r="K2431" s="196"/>
      <c r="L2431" s="196" t="str">
        <v/>
      </c>
      <c r="M2431" s="196"/>
    </row>
    <row r="2432" spans="1:13" ht="14.4" x14ac:dyDescent="0.3">
      <c r="A2432" s="189"/>
      <c r="B2432" s="197"/>
      <c r="C2432" s="189"/>
      <c r="D2432" s="189"/>
      <c r="E2432" s="189"/>
      <c r="F2432" s="189"/>
      <c r="G2432" s="189"/>
      <c r="H2432" s="196" t="s">
        <v>29</v>
      </c>
      <c r="I2432" s="196"/>
      <c r="J2432" s="196" t="s">
        <v>29</v>
      </c>
      <c r="K2432" s="196"/>
      <c r="L2432" s="196" t="str">
        <v/>
      </c>
      <c r="M2432" s="196"/>
    </row>
    <row r="2433" spans="1:13" ht="14.4" x14ac:dyDescent="0.3">
      <c r="A2433" s="189"/>
      <c r="B2433" s="197"/>
      <c r="C2433" s="189"/>
      <c r="D2433" s="189"/>
      <c r="E2433" s="189"/>
      <c r="F2433" s="189"/>
      <c r="G2433" s="189"/>
      <c r="H2433" s="196" t="s">
        <v>29</v>
      </c>
      <c r="I2433" s="196"/>
      <c r="J2433" s="196" t="s">
        <v>29</v>
      </c>
      <c r="K2433" s="196"/>
      <c r="L2433" s="196" t="str">
        <v/>
      </c>
      <c r="M2433" s="196"/>
    </row>
    <row r="2434" spans="1:13" ht="14.4" x14ac:dyDescent="0.3">
      <c r="A2434" s="189"/>
      <c r="B2434" s="197"/>
      <c r="C2434" s="189"/>
      <c r="D2434" s="189"/>
      <c r="E2434" s="189"/>
      <c r="F2434" s="189"/>
      <c r="G2434" s="189"/>
      <c r="H2434" s="196" t="s">
        <v>29</v>
      </c>
      <c r="I2434" s="196"/>
      <c r="J2434" s="196" t="s">
        <v>29</v>
      </c>
      <c r="K2434" s="196"/>
      <c r="L2434" s="196" t="str">
        <v/>
      </c>
      <c r="M2434" s="196"/>
    </row>
    <row r="2435" spans="1:13" ht="14.4" x14ac:dyDescent="0.3">
      <c r="A2435" s="189"/>
      <c r="B2435" s="197"/>
      <c r="C2435" s="189"/>
      <c r="D2435" s="189"/>
      <c r="E2435" s="189"/>
      <c r="F2435" s="189"/>
      <c r="G2435" s="189"/>
      <c r="H2435" s="196" t="s">
        <v>29</v>
      </c>
      <c r="I2435" s="196"/>
      <c r="J2435" s="196" t="s">
        <v>29</v>
      </c>
      <c r="K2435" s="196"/>
      <c r="L2435" s="196" t="str">
        <v/>
      </c>
      <c r="M2435" s="196"/>
    </row>
    <row r="2436" spans="1:13" ht="14.4" x14ac:dyDescent="0.3">
      <c r="A2436" s="189"/>
      <c r="B2436" s="197"/>
      <c r="C2436" s="189"/>
      <c r="D2436" s="189"/>
      <c r="E2436" s="189"/>
      <c r="F2436" s="189"/>
      <c r="G2436" s="189"/>
      <c r="H2436" s="196" t="s">
        <v>29</v>
      </c>
      <c r="I2436" s="196"/>
      <c r="J2436" s="196" t="s">
        <v>29</v>
      </c>
      <c r="K2436" s="196"/>
      <c r="L2436" s="196" t="str">
        <v/>
      </c>
      <c r="M2436" s="196"/>
    </row>
    <row r="2437" spans="1:13" ht="14.4" x14ac:dyDescent="0.3">
      <c r="A2437" s="189"/>
      <c r="B2437" s="197"/>
      <c r="C2437" s="189"/>
      <c r="D2437" s="189"/>
      <c r="E2437" s="189"/>
      <c r="F2437" s="189"/>
      <c r="G2437" s="189"/>
      <c r="H2437" s="196" t="s">
        <v>29</v>
      </c>
      <c r="I2437" s="196"/>
      <c r="J2437" s="196" t="s">
        <v>29</v>
      </c>
      <c r="K2437" s="196"/>
      <c r="L2437" s="196" t="str">
        <v/>
      </c>
      <c r="M2437" s="196"/>
    </row>
    <row r="2438" spans="1:13" ht="14.4" x14ac:dyDescent="0.3">
      <c r="A2438" s="189"/>
      <c r="B2438" s="197"/>
      <c r="C2438" s="189"/>
      <c r="D2438" s="189"/>
      <c r="E2438" s="189"/>
      <c r="F2438" s="189"/>
      <c r="G2438" s="189"/>
      <c r="H2438" s="196" t="s">
        <v>29</v>
      </c>
      <c r="I2438" s="196"/>
      <c r="J2438" s="196" t="s">
        <v>29</v>
      </c>
      <c r="K2438" s="196"/>
      <c r="L2438" s="196" t="str">
        <v/>
      </c>
      <c r="M2438" s="196"/>
    </row>
    <row r="2439" spans="1:13" ht="14.4" x14ac:dyDescent="0.3">
      <c r="A2439" s="189"/>
      <c r="B2439" s="197"/>
      <c r="C2439" s="189"/>
      <c r="D2439" s="189"/>
      <c r="E2439" s="189"/>
      <c r="F2439" s="189"/>
      <c r="G2439" s="189"/>
      <c r="H2439" s="196" t="s">
        <v>29</v>
      </c>
      <c r="I2439" s="196"/>
      <c r="J2439" s="196" t="s">
        <v>29</v>
      </c>
      <c r="K2439" s="196"/>
      <c r="L2439" s="196" t="str">
        <v/>
      </c>
      <c r="M2439" s="196"/>
    </row>
    <row r="2440" spans="1:13" ht="14.4" x14ac:dyDescent="0.3">
      <c r="A2440" s="189"/>
      <c r="B2440" s="197"/>
      <c r="C2440" s="189"/>
      <c r="D2440" s="189"/>
      <c r="E2440" s="189"/>
      <c r="F2440" s="189"/>
      <c r="G2440" s="189"/>
      <c r="H2440" s="196" t="s">
        <v>29</v>
      </c>
      <c r="I2440" s="196"/>
      <c r="J2440" s="196" t="s">
        <v>29</v>
      </c>
      <c r="K2440" s="196"/>
      <c r="L2440" s="196" t="str">
        <v/>
      </c>
      <c r="M2440" s="196"/>
    </row>
    <row r="2441" spans="1:13" ht="14.4" x14ac:dyDescent="0.3">
      <c r="A2441" s="189"/>
      <c r="B2441" s="197"/>
      <c r="C2441" s="189"/>
      <c r="D2441" s="189"/>
      <c r="E2441" s="189"/>
      <c r="F2441" s="189"/>
      <c r="G2441" s="189"/>
      <c r="H2441" s="196" t="s">
        <v>29</v>
      </c>
      <c r="I2441" s="196"/>
      <c r="J2441" s="196" t="s">
        <v>29</v>
      </c>
      <c r="K2441" s="196"/>
      <c r="L2441" s="196" t="str">
        <v/>
      </c>
      <c r="M2441" s="196"/>
    </row>
    <row r="2442" spans="1:13" ht="14.4" x14ac:dyDescent="0.3">
      <c r="A2442" s="189"/>
      <c r="B2442" s="197"/>
      <c r="C2442" s="189"/>
      <c r="D2442" s="189"/>
      <c r="E2442" s="189"/>
      <c r="F2442" s="189"/>
      <c r="G2442" s="189"/>
      <c r="H2442" s="196" t="s">
        <v>29</v>
      </c>
      <c r="I2442" s="196"/>
      <c r="J2442" s="196" t="s">
        <v>29</v>
      </c>
      <c r="K2442" s="196"/>
      <c r="L2442" s="196" t="str">
        <v/>
      </c>
      <c r="M2442" s="196"/>
    </row>
    <row r="2443" spans="1:13" ht="14.4" x14ac:dyDescent="0.3">
      <c r="A2443" s="189"/>
      <c r="B2443" s="197"/>
      <c r="C2443" s="189"/>
      <c r="D2443" s="189"/>
      <c r="E2443" s="189"/>
      <c r="F2443" s="189"/>
      <c r="G2443" s="189"/>
      <c r="H2443" s="196" t="s">
        <v>29</v>
      </c>
      <c r="I2443" s="196"/>
      <c r="J2443" s="196" t="s">
        <v>29</v>
      </c>
      <c r="K2443" s="196"/>
      <c r="L2443" s="196" t="str">
        <v/>
      </c>
      <c r="M2443" s="196"/>
    </row>
    <row r="2444" spans="1:13" ht="14.4" x14ac:dyDescent="0.3">
      <c r="A2444" s="189"/>
      <c r="B2444" s="197"/>
      <c r="C2444" s="189"/>
      <c r="D2444" s="189"/>
      <c r="E2444" s="189"/>
      <c r="F2444" s="189"/>
      <c r="G2444" s="189"/>
      <c r="H2444" s="196" t="s">
        <v>29</v>
      </c>
      <c r="I2444" s="196"/>
      <c r="J2444" s="196" t="s">
        <v>29</v>
      </c>
      <c r="K2444" s="196"/>
      <c r="L2444" s="196" t="str">
        <v/>
      </c>
      <c r="M2444" s="196"/>
    </row>
    <row r="2445" spans="1:13" ht="14.4" x14ac:dyDescent="0.3">
      <c r="A2445" s="189"/>
      <c r="B2445" s="197"/>
      <c r="C2445" s="189"/>
      <c r="D2445" s="189"/>
      <c r="E2445" s="189"/>
      <c r="F2445" s="189"/>
      <c r="G2445" s="189"/>
      <c r="H2445" s="196" t="s">
        <v>29</v>
      </c>
      <c r="I2445" s="196"/>
      <c r="J2445" s="196" t="s">
        <v>29</v>
      </c>
      <c r="K2445" s="196"/>
      <c r="L2445" s="196" t="str">
        <v/>
      </c>
      <c r="M2445" s="196"/>
    </row>
    <row r="2446" spans="1:13" ht="14.4" x14ac:dyDescent="0.3">
      <c r="A2446" s="189"/>
      <c r="B2446" s="197"/>
      <c r="C2446" s="189"/>
      <c r="D2446" s="189"/>
      <c r="E2446" s="189"/>
      <c r="F2446" s="189"/>
      <c r="G2446" s="189"/>
      <c r="H2446" s="196" t="s">
        <v>29</v>
      </c>
      <c r="I2446" s="196"/>
      <c r="J2446" s="196" t="s">
        <v>29</v>
      </c>
      <c r="K2446" s="196"/>
      <c r="L2446" s="196" t="str">
        <v/>
      </c>
      <c r="M2446" s="196"/>
    </row>
    <row r="2447" spans="1:13" ht="14.4" x14ac:dyDescent="0.3">
      <c r="A2447" s="189"/>
      <c r="B2447" s="197"/>
      <c r="C2447" s="189"/>
      <c r="D2447" s="189"/>
      <c r="E2447" s="189"/>
      <c r="F2447" s="189"/>
      <c r="G2447" s="189"/>
      <c r="H2447" s="196" t="s">
        <v>29</v>
      </c>
      <c r="I2447" s="196"/>
      <c r="J2447" s="196" t="s">
        <v>29</v>
      </c>
      <c r="K2447" s="196"/>
      <c r="L2447" s="196" t="str">
        <v/>
      </c>
      <c r="M2447" s="196"/>
    </row>
    <row r="2448" spans="1:13" ht="14.4" x14ac:dyDescent="0.3">
      <c r="A2448" s="189"/>
      <c r="B2448" s="197"/>
      <c r="C2448" s="189"/>
      <c r="D2448" s="189"/>
      <c r="E2448" s="189"/>
      <c r="F2448" s="189"/>
      <c r="G2448" s="189"/>
      <c r="H2448" s="196" t="s">
        <v>29</v>
      </c>
      <c r="I2448" s="196"/>
      <c r="J2448" s="196" t="s">
        <v>29</v>
      </c>
      <c r="K2448" s="196"/>
      <c r="L2448" s="196" t="str">
        <v/>
      </c>
      <c r="M2448" s="196"/>
    </row>
    <row r="2449" spans="1:13" ht="14.4" x14ac:dyDescent="0.3">
      <c r="A2449" s="189"/>
      <c r="B2449" s="197"/>
      <c r="C2449" s="189"/>
      <c r="D2449" s="189"/>
      <c r="E2449" s="189"/>
      <c r="F2449" s="189"/>
      <c r="G2449" s="189"/>
      <c r="H2449" s="196" t="s">
        <v>29</v>
      </c>
      <c r="I2449" s="196"/>
      <c r="J2449" s="196" t="s">
        <v>29</v>
      </c>
      <c r="K2449" s="196"/>
      <c r="L2449" s="196" t="str">
        <v/>
      </c>
      <c r="M2449" s="196"/>
    </row>
    <row r="2450" spans="1:13" ht="14.4" x14ac:dyDescent="0.3">
      <c r="A2450" s="189"/>
      <c r="B2450" s="197"/>
      <c r="C2450" s="189"/>
      <c r="D2450" s="189"/>
      <c r="E2450" s="189"/>
      <c r="F2450" s="189"/>
      <c r="G2450" s="189"/>
      <c r="H2450" s="196" t="s">
        <v>29</v>
      </c>
      <c r="I2450" s="196"/>
      <c r="J2450" s="196" t="s">
        <v>29</v>
      </c>
      <c r="K2450" s="196"/>
      <c r="L2450" s="196" t="str">
        <v/>
      </c>
      <c r="M2450" s="196"/>
    </row>
    <row r="2451" spans="1:13" ht="14.4" x14ac:dyDescent="0.3">
      <c r="A2451" s="189"/>
      <c r="B2451" s="197"/>
      <c r="C2451" s="189"/>
      <c r="D2451" s="189"/>
      <c r="E2451" s="189"/>
      <c r="F2451" s="189"/>
      <c r="G2451" s="189"/>
      <c r="H2451" s="196" t="s">
        <v>29</v>
      </c>
      <c r="I2451" s="196"/>
      <c r="J2451" s="196" t="s">
        <v>29</v>
      </c>
      <c r="K2451" s="196"/>
      <c r="L2451" s="196" t="str">
        <v/>
      </c>
      <c r="M2451" s="196"/>
    </row>
    <row r="2452" spans="1:13" ht="14.4" x14ac:dyDescent="0.3">
      <c r="A2452" s="189"/>
      <c r="B2452" s="197"/>
      <c r="C2452" s="189"/>
      <c r="D2452" s="189"/>
      <c r="E2452" s="189"/>
      <c r="F2452" s="189"/>
      <c r="G2452" s="189"/>
      <c r="H2452" s="196" t="s">
        <v>29</v>
      </c>
      <c r="I2452" s="196"/>
      <c r="J2452" s="196" t="s">
        <v>29</v>
      </c>
      <c r="K2452" s="196"/>
      <c r="L2452" s="196" t="str">
        <v/>
      </c>
      <c r="M2452" s="196"/>
    </row>
    <row r="2453" spans="1:13" ht="14.4" x14ac:dyDescent="0.3">
      <c r="A2453" s="189"/>
      <c r="B2453" s="197"/>
      <c r="C2453" s="189"/>
      <c r="D2453" s="189"/>
      <c r="E2453" s="189"/>
      <c r="F2453" s="189"/>
      <c r="G2453" s="189"/>
      <c r="H2453" s="196" t="s">
        <v>29</v>
      </c>
      <c r="I2453" s="196"/>
      <c r="J2453" s="196" t="s">
        <v>29</v>
      </c>
      <c r="K2453" s="196"/>
      <c r="L2453" s="196" t="str">
        <v/>
      </c>
      <c r="M2453" s="196"/>
    </row>
    <row r="2454" spans="1:13" ht="14.4" x14ac:dyDescent="0.3">
      <c r="A2454" s="189"/>
      <c r="B2454" s="197"/>
      <c r="C2454" s="189"/>
      <c r="D2454" s="189"/>
      <c r="E2454" s="189"/>
      <c r="F2454" s="189"/>
      <c r="G2454" s="189"/>
      <c r="H2454" s="196" t="s">
        <v>29</v>
      </c>
      <c r="I2454" s="196"/>
      <c r="J2454" s="196" t="s">
        <v>29</v>
      </c>
      <c r="K2454" s="196"/>
      <c r="L2454" s="196" t="str">
        <v/>
      </c>
      <c r="M2454" s="196"/>
    </row>
    <row r="2455" spans="1:13" ht="14.4" x14ac:dyDescent="0.3">
      <c r="A2455" s="189"/>
      <c r="B2455" s="197"/>
      <c r="C2455" s="189"/>
      <c r="D2455" s="189"/>
      <c r="E2455" s="189"/>
      <c r="F2455" s="189"/>
      <c r="G2455" s="189"/>
      <c r="H2455" s="196" t="s">
        <v>29</v>
      </c>
      <c r="I2455" s="196"/>
      <c r="J2455" s="196" t="s">
        <v>29</v>
      </c>
      <c r="K2455" s="196"/>
      <c r="L2455" s="196" t="str">
        <v/>
      </c>
      <c r="M2455" s="196"/>
    </row>
    <row r="2456" spans="1:13" ht="14.4" x14ac:dyDescent="0.3">
      <c r="A2456" s="189"/>
      <c r="B2456" s="197"/>
      <c r="C2456" s="189"/>
      <c r="D2456" s="189"/>
      <c r="E2456" s="189"/>
      <c r="F2456" s="189"/>
      <c r="G2456" s="189"/>
      <c r="H2456" s="196" t="s">
        <v>29</v>
      </c>
      <c r="I2456" s="196"/>
      <c r="J2456" s="196" t="s">
        <v>29</v>
      </c>
      <c r="K2456" s="196"/>
      <c r="L2456" s="196" t="str">
        <v/>
      </c>
      <c r="M2456" s="196"/>
    </row>
    <row r="2457" spans="1:13" ht="14.4" x14ac:dyDescent="0.3">
      <c r="A2457" s="189"/>
      <c r="B2457" s="197"/>
      <c r="C2457" s="189"/>
      <c r="D2457" s="189"/>
      <c r="E2457" s="189"/>
      <c r="F2457" s="189"/>
      <c r="G2457" s="189"/>
      <c r="H2457" s="196" t="s">
        <v>29</v>
      </c>
      <c r="I2457" s="196"/>
      <c r="J2457" s="196" t="s">
        <v>29</v>
      </c>
      <c r="K2457" s="196"/>
      <c r="L2457" s="196" t="str">
        <v/>
      </c>
      <c r="M2457" s="196"/>
    </row>
    <row r="2458" spans="1:13" ht="14.4" x14ac:dyDescent="0.3">
      <c r="A2458" s="189"/>
      <c r="B2458" s="197"/>
      <c r="C2458" s="189"/>
      <c r="D2458" s="189"/>
      <c r="E2458" s="189"/>
      <c r="F2458" s="189"/>
      <c r="G2458" s="189"/>
      <c r="H2458" s="196" t="s">
        <v>29</v>
      </c>
      <c r="I2458" s="196"/>
      <c r="J2458" s="196" t="s">
        <v>29</v>
      </c>
      <c r="K2458" s="196"/>
      <c r="L2458" s="196" t="str">
        <v/>
      </c>
      <c r="M2458" s="196"/>
    </row>
    <row r="2459" spans="1:13" ht="14.4" x14ac:dyDescent="0.3">
      <c r="A2459" s="189"/>
      <c r="B2459" s="197"/>
      <c r="C2459" s="189"/>
      <c r="D2459" s="189"/>
      <c r="E2459" s="189"/>
      <c r="F2459" s="189"/>
      <c r="G2459" s="189"/>
      <c r="H2459" s="196" t="s">
        <v>29</v>
      </c>
      <c r="I2459" s="196"/>
      <c r="J2459" s="196" t="s">
        <v>29</v>
      </c>
      <c r="K2459" s="196"/>
      <c r="L2459" s="196" t="str">
        <v/>
      </c>
      <c r="M2459" s="196"/>
    </row>
    <row r="2460" spans="1:13" ht="14.4" x14ac:dyDescent="0.3">
      <c r="A2460" s="189"/>
      <c r="B2460" s="197"/>
      <c r="C2460" s="189"/>
      <c r="D2460" s="189"/>
      <c r="E2460" s="189"/>
      <c r="F2460" s="189"/>
      <c r="G2460" s="189"/>
      <c r="H2460" s="196" t="s">
        <v>29</v>
      </c>
      <c r="I2460" s="196"/>
      <c r="J2460" s="196" t="s">
        <v>29</v>
      </c>
      <c r="K2460" s="196"/>
      <c r="L2460" s="196" t="str">
        <v/>
      </c>
      <c r="M2460" s="196"/>
    </row>
    <row r="2461" spans="1:13" ht="14.4" x14ac:dyDescent="0.3">
      <c r="A2461" s="189"/>
      <c r="B2461" s="197"/>
      <c r="C2461" s="189"/>
      <c r="D2461" s="189"/>
      <c r="E2461" s="189"/>
      <c r="F2461" s="189"/>
      <c r="G2461" s="189"/>
      <c r="H2461" s="196" t="s">
        <v>29</v>
      </c>
      <c r="I2461" s="196"/>
      <c r="J2461" s="196" t="s">
        <v>29</v>
      </c>
      <c r="K2461" s="196"/>
      <c r="L2461" s="196" t="str">
        <v/>
      </c>
      <c r="M2461" s="196"/>
    </row>
    <row r="2462" spans="1:13" ht="14.4" x14ac:dyDescent="0.3">
      <c r="A2462" s="189"/>
      <c r="B2462" s="197"/>
      <c r="C2462" s="189"/>
      <c r="D2462" s="189"/>
      <c r="E2462" s="189"/>
      <c r="F2462" s="189"/>
      <c r="G2462" s="189"/>
      <c r="H2462" s="196" t="s">
        <v>29</v>
      </c>
      <c r="I2462" s="196"/>
      <c r="J2462" s="196" t="s">
        <v>29</v>
      </c>
      <c r="K2462" s="196"/>
      <c r="L2462" s="196" t="str">
        <v/>
      </c>
      <c r="M2462" s="196"/>
    </row>
    <row r="2463" spans="1:13" ht="14.4" x14ac:dyDescent="0.3">
      <c r="A2463" s="189"/>
      <c r="B2463" s="197"/>
      <c r="C2463" s="189"/>
      <c r="D2463" s="189"/>
      <c r="E2463" s="189"/>
      <c r="F2463" s="189"/>
      <c r="G2463" s="189"/>
      <c r="H2463" s="196" t="s">
        <v>29</v>
      </c>
      <c r="I2463" s="196"/>
      <c r="J2463" s="196" t="s">
        <v>29</v>
      </c>
      <c r="K2463" s="196"/>
      <c r="L2463" s="196" t="str">
        <v/>
      </c>
      <c r="M2463" s="196"/>
    </row>
    <row r="2464" spans="1:13" ht="14.4" x14ac:dyDescent="0.3">
      <c r="A2464" s="189"/>
      <c r="B2464" s="197"/>
      <c r="C2464" s="189"/>
      <c r="D2464" s="189"/>
      <c r="E2464" s="189"/>
      <c r="F2464" s="189"/>
      <c r="G2464" s="189"/>
      <c r="H2464" s="196" t="s">
        <v>29</v>
      </c>
      <c r="I2464" s="196"/>
      <c r="J2464" s="196" t="s">
        <v>29</v>
      </c>
      <c r="K2464" s="196"/>
      <c r="L2464" s="196" t="str">
        <v/>
      </c>
      <c r="M2464" s="196"/>
    </row>
    <row r="2465" spans="1:13" ht="14.4" x14ac:dyDescent="0.3">
      <c r="A2465" s="189"/>
      <c r="B2465" s="197"/>
      <c r="C2465" s="189"/>
      <c r="D2465" s="189"/>
      <c r="E2465" s="189"/>
      <c r="F2465" s="189"/>
      <c r="G2465" s="189"/>
      <c r="H2465" s="196" t="s">
        <v>29</v>
      </c>
      <c r="I2465" s="196"/>
      <c r="J2465" s="196" t="s">
        <v>29</v>
      </c>
      <c r="K2465" s="196"/>
      <c r="L2465" s="196" t="str">
        <v/>
      </c>
      <c r="M2465" s="196"/>
    </row>
    <row r="2466" spans="1:13" ht="14.4" x14ac:dyDescent="0.3">
      <c r="A2466" s="189"/>
      <c r="B2466" s="197"/>
      <c r="C2466" s="189"/>
      <c r="D2466" s="189"/>
      <c r="E2466" s="189"/>
      <c r="F2466" s="189"/>
      <c r="G2466" s="189"/>
      <c r="H2466" s="196" t="s">
        <v>29</v>
      </c>
      <c r="I2466" s="196"/>
      <c r="J2466" s="196" t="s">
        <v>29</v>
      </c>
      <c r="K2466" s="196"/>
      <c r="L2466" s="196" t="str">
        <v/>
      </c>
      <c r="M2466" s="196"/>
    </row>
    <row r="2467" spans="1:13" ht="14.4" x14ac:dyDescent="0.3">
      <c r="A2467" s="189"/>
      <c r="B2467" s="197"/>
      <c r="C2467" s="189"/>
      <c r="D2467" s="189"/>
      <c r="E2467" s="189"/>
      <c r="F2467" s="189"/>
      <c r="G2467" s="189"/>
      <c r="H2467" s="196" t="s">
        <v>29</v>
      </c>
      <c r="I2467" s="196"/>
      <c r="J2467" s="196" t="s">
        <v>29</v>
      </c>
      <c r="K2467" s="196"/>
      <c r="L2467" s="196" t="str">
        <v/>
      </c>
      <c r="M2467" s="196"/>
    </row>
    <row r="2468" spans="1:13" ht="14.4" x14ac:dyDescent="0.3">
      <c r="A2468" s="189"/>
      <c r="B2468" s="197"/>
      <c r="C2468" s="189"/>
      <c r="D2468" s="189"/>
      <c r="E2468" s="189"/>
      <c r="F2468" s="189"/>
      <c r="G2468" s="189"/>
      <c r="H2468" s="196" t="s">
        <v>29</v>
      </c>
      <c r="I2468" s="196"/>
      <c r="J2468" s="196" t="s">
        <v>29</v>
      </c>
      <c r="K2468" s="196"/>
      <c r="L2468" s="196" t="str">
        <v/>
      </c>
      <c r="M2468" s="196"/>
    </row>
    <row r="2469" spans="1:13" ht="14.4" x14ac:dyDescent="0.3">
      <c r="A2469" s="189"/>
      <c r="B2469" s="197"/>
      <c r="C2469" s="189"/>
      <c r="D2469" s="189"/>
      <c r="E2469" s="189"/>
      <c r="F2469" s="189"/>
      <c r="G2469" s="189"/>
      <c r="H2469" s="196" t="s">
        <v>29</v>
      </c>
      <c r="I2469" s="196"/>
      <c r="J2469" s="196" t="s">
        <v>29</v>
      </c>
      <c r="K2469" s="196"/>
      <c r="L2469" s="196" t="str">
        <v/>
      </c>
      <c r="M2469" s="196"/>
    </row>
    <row r="2470" spans="1:13" ht="14.4" x14ac:dyDescent="0.3">
      <c r="A2470" s="189"/>
      <c r="B2470" s="197"/>
      <c r="C2470" s="189"/>
      <c r="D2470" s="189"/>
      <c r="E2470" s="189"/>
      <c r="F2470" s="189"/>
      <c r="G2470" s="189"/>
      <c r="H2470" s="196" t="s">
        <v>29</v>
      </c>
      <c r="I2470" s="196"/>
      <c r="J2470" s="196" t="s">
        <v>29</v>
      </c>
      <c r="K2470" s="196"/>
      <c r="L2470" s="196" t="str">
        <v/>
      </c>
      <c r="M2470" s="196"/>
    </row>
    <row r="2471" spans="1:13" ht="14.4" x14ac:dyDescent="0.3">
      <c r="A2471" s="189"/>
      <c r="B2471" s="197"/>
      <c r="C2471" s="189"/>
      <c r="D2471" s="189"/>
      <c r="E2471" s="189"/>
      <c r="F2471" s="189"/>
      <c r="G2471" s="189"/>
      <c r="H2471" s="196" t="s">
        <v>29</v>
      </c>
      <c r="I2471" s="196"/>
      <c r="J2471" s="196" t="s">
        <v>29</v>
      </c>
      <c r="K2471" s="196"/>
      <c r="L2471" s="196" t="str">
        <v/>
      </c>
      <c r="M2471" s="196"/>
    </row>
    <row r="2472" spans="1:13" ht="14.4" x14ac:dyDescent="0.3">
      <c r="A2472" s="189"/>
      <c r="B2472" s="197"/>
      <c r="C2472" s="189"/>
      <c r="D2472" s="189"/>
      <c r="E2472" s="189"/>
      <c r="F2472" s="189"/>
      <c r="G2472" s="189"/>
      <c r="H2472" s="196" t="s">
        <v>29</v>
      </c>
      <c r="I2472" s="196"/>
      <c r="J2472" s="196" t="s">
        <v>29</v>
      </c>
      <c r="K2472" s="196"/>
      <c r="L2472" s="196" t="str">
        <v/>
      </c>
      <c r="M2472" s="196"/>
    </row>
    <row r="2473" spans="1:13" ht="14.4" x14ac:dyDescent="0.3">
      <c r="A2473" s="189"/>
      <c r="B2473" s="197"/>
      <c r="C2473" s="189"/>
      <c r="D2473" s="189"/>
      <c r="E2473" s="189"/>
      <c r="F2473" s="189"/>
      <c r="G2473" s="189"/>
      <c r="H2473" s="196" t="s">
        <v>29</v>
      </c>
      <c r="I2473" s="196"/>
      <c r="J2473" s="196" t="s">
        <v>29</v>
      </c>
      <c r="K2473" s="196"/>
      <c r="L2473" s="196" t="str">
        <v/>
      </c>
      <c r="M2473" s="196"/>
    </row>
    <row r="2474" spans="1:13" ht="14.4" x14ac:dyDescent="0.3">
      <c r="A2474" s="189"/>
      <c r="B2474" s="197"/>
      <c r="C2474" s="189"/>
      <c r="D2474" s="189"/>
      <c r="E2474" s="189"/>
      <c r="F2474" s="189"/>
      <c r="G2474" s="189"/>
      <c r="H2474" s="196" t="s">
        <v>29</v>
      </c>
      <c r="I2474" s="196"/>
      <c r="J2474" s="196" t="s">
        <v>29</v>
      </c>
      <c r="K2474" s="196"/>
      <c r="L2474" s="196" t="str">
        <v/>
      </c>
      <c r="M2474" s="196"/>
    </row>
    <row r="2475" spans="1:13" ht="14.4" x14ac:dyDescent="0.3">
      <c r="A2475" s="189"/>
      <c r="B2475" s="197"/>
      <c r="C2475" s="189"/>
      <c r="D2475" s="189"/>
      <c r="E2475" s="189"/>
      <c r="F2475" s="189"/>
      <c r="G2475" s="189"/>
      <c r="H2475" s="196" t="s">
        <v>29</v>
      </c>
      <c r="I2475" s="196"/>
      <c r="J2475" s="196" t="s">
        <v>29</v>
      </c>
      <c r="K2475" s="196"/>
      <c r="L2475" s="196" t="str">
        <v/>
      </c>
      <c r="M2475" s="196"/>
    </row>
    <row r="2476" spans="1:13" ht="14.4" x14ac:dyDescent="0.3">
      <c r="A2476" s="189"/>
      <c r="B2476" s="197"/>
      <c r="C2476" s="189"/>
      <c r="D2476" s="189"/>
      <c r="E2476" s="189"/>
      <c r="F2476" s="189"/>
      <c r="G2476" s="189"/>
      <c r="H2476" s="196" t="s">
        <v>29</v>
      </c>
      <c r="I2476" s="196"/>
      <c r="J2476" s="196" t="s">
        <v>29</v>
      </c>
      <c r="K2476" s="196"/>
      <c r="L2476" s="196" t="str">
        <v/>
      </c>
      <c r="M2476" s="196"/>
    </row>
    <row r="2477" spans="1:13" ht="14.4" x14ac:dyDescent="0.3">
      <c r="A2477" s="189"/>
      <c r="B2477" s="197"/>
      <c r="C2477" s="189"/>
      <c r="D2477" s="189"/>
      <c r="E2477" s="189"/>
      <c r="F2477" s="189"/>
      <c r="G2477" s="189"/>
      <c r="H2477" s="196" t="s">
        <v>29</v>
      </c>
      <c r="I2477" s="196"/>
      <c r="J2477" s="196" t="s">
        <v>29</v>
      </c>
      <c r="K2477" s="196"/>
      <c r="L2477" s="196" t="str">
        <v/>
      </c>
      <c r="M2477" s="196"/>
    </row>
    <row r="2478" spans="1:13" ht="14.4" x14ac:dyDescent="0.3">
      <c r="A2478" s="189"/>
      <c r="B2478" s="197"/>
      <c r="C2478" s="189"/>
      <c r="D2478" s="189"/>
      <c r="E2478" s="189"/>
      <c r="F2478" s="189"/>
      <c r="G2478" s="189"/>
      <c r="H2478" s="196" t="s">
        <v>29</v>
      </c>
      <c r="I2478" s="196"/>
      <c r="J2478" s="196" t="s">
        <v>29</v>
      </c>
      <c r="K2478" s="196"/>
      <c r="L2478" s="196" t="str">
        <v/>
      </c>
      <c r="M2478" s="196"/>
    </row>
    <row r="2479" spans="1:13" ht="14.4" x14ac:dyDescent="0.3">
      <c r="A2479" s="189"/>
      <c r="B2479" s="197"/>
      <c r="C2479" s="189"/>
      <c r="D2479" s="189"/>
      <c r="E2479" s="189"/>
      <c r="F2479" s="189"/>
      <c r="G2479" s="189"/>
      <c r="H2479" s="196" t="s">
        <v>29</v>
      </c>
      <c r="I2479" s="196"/>
      <c r="J2479" s="196" t="s">
        <v>29</v>
      </c>
      <c r="K2479" s="196"/>
      <c r="L2479" s="196" t="str">
        <v/>
      </c>
      <c r="M2479" s="196"/>
    </row>
    <row r="2480" spans="1:13" ht="14.4" x14ac:dyDescent="0.3">
      <c r="A2480" s="189"/>
      <c r="B2480" s="197"/>
      <c r="C2480" s="189"/>
      <c r="D2480" s="189"/>
      <c r="E2480" s="189"/>
      <c r="F2480" s="189"/>
      <c r="G2480" s="189"/>
      <c r="H2480" s="196" t="s">
        <v>29</v>
      </c>
      <c r="I2480" s="196"/>
      <c r="J2480" s="196" t="s">
        <v>29</v>
      </c>
      <c r="K2480" s="196"/>
      <c r="L2480" s="196" t="str">
        <v/>
      </c>
      <c r="M2480" s="196"/>
    </row>
    <row r="2481" spans="1:13" ht="14.4" x14ac:dyDescent="0.3">
      <c r="A2481" s="189"/>
      <c r="B2481" s="197"/>
      <c r="C2481" s="189"/>
      <c r="D2481" s="189"/>
      <c r="E2481" s="189"/>
      <c r="F2481" s="189"/>
      <c r="G2481" s="189"/>
      <c r="H2481" s="196" t="s">
        <v>29</v>
      </c>
      <c r="I2481" s="196"/>
      <c r="J2481" s="196" t="s">
        <v>29</v>
      </c>
      <c r="K2481" s="196"/>
      <c r="L2481" s="196" t="str">
        <v/>
      </c>
      <c r="M2481" s="196"/>
    </row>
    <row r="2482" spans="1:13" ht="14.4" x14ac:dyDescent="0.3">
      <c r="A2482" s="189"/>
      <c r="B2482" s="197"/>
      <c r="C2482" s="189"/>
      <c r="D2482" s="189"/>
      <c r="E2482" s="189"/>
      <c r="F2482" s="189"/>
      <c r="G2482" s="189"/>
      <c r="H2482" s="196" t="s">
        <v>29</v>
      </c>
      <c r="I2482" s="196"/>
      <c r="J2482" s="196" t="s">
        <v>29</v>
      </c>
      <c r="K2482" s="196"/>
      <c r="L2482" s="196" t="str">
        <v/>
      </c>
      <c r="M2482" s="196"/>
    </row>
    <row r="2483" spans="1:13" ht="14.4" x14ac:dyDescent="0.3">
      <c r="A2483" s="189"/>
      <c r="B2483" s="197"/>
      <c r="C2483" s="189"/>
      <c r="D2483" s="189"/>
      <c r="E2483" s="189"/>
      <c r="F2483" s="189"/>
      <c r="G2483" s="189"/>
      <c r="H2483" s="196" t="s">
        <v>29</v>
      </c>
      <c r="I2483" s="196"/>
      <c r="J2483" s="196" t="s">
        <v>29</v>
      </c>
      <c r="K2483" s="196"/>
      <c r="L2483" s="196" t="str">
        <v/>
      </c>
      <c r="M2483" s="196"/>
    </row>
    <row r="2484" spans="1:13" ht="14.4" x14ac:dyDescent="0.3">
      <c r="A2484" s="189"/>
      <c r="B2484" s="197"/>
      <c r="C2484" s="189"/>
      <c r="D2484" s="189"/>
      <c r="E2484" s="189"/>
      <c r="F2484" s="189"/>
      <c r="G2484" s="189"/>
      <c r="H2484" s="196" t="s">
        <v>29</v>
      </c>
      <c r="I2484" s="196"/>
      <c r="J2484" s="196" t="s">
        <v>29</v>
      </c>
      <c r="K2484" s="196"/>
      <c r="L2484" s="196" t="str">
        <v/>
      </c>
      <c r="M2484" s="196"/>
    </row>
    <row r="2485" spans="1:13" ht="14.4" x14ac:dyDescent="0.3">
      <c r="A2485" s="189"/>
      <c r="B2485" s="197"/>
      <c r="C2485" s="189"/>
      <c r="D2485" s="189"/>
      <c r="E2485" s="189"/>
      <c r="F2485" s="189"/>
      <c r="G2485" s="189"/>
      <c r="H2485" s="196" t="s">
        <v>29</v>
      </c>
      <c r="I2485" s="196"/>
      <c r="J2485" s="196" t="s">
        <v>29</v>
      </c>
      <c r="K2485" s="196"/>
      <c r="L2485" s="196" t="str">
        <v/>
      </c>
      <c r="M2485" s="196"/>
    </row>
    <row r="2486" spans="1:13" ht="14.4" x14ac:dyDescent="0.3">
      <c r="A2486" s="189"/>
      <c r="B2486" s="197"/>
      <c r="C2486" s="189"/>
      <c r="D2486" s="189"/>
      <c r="E2486" s="189"/>
      <c r="F2486" s="189"/>
      <c r="G2486" s="189"/>
      <c r="H2486" s="196" t="s">
        <v>29</v>
      </c>
      <c r="I2486" s="196"/>
      <c r="J2486" s="196" t="s">
        <v>29</v>
      </c>
      <c r="K2486" s="196"/>
      <c r="L2486" s="196" t="str">
        <v/>
      </c>
      <c r="M2486" s="196"/>
    </row>
    <row r="2487" spans="1:13" ht="14.4" x14ac:dyDescent="0.3">
      <c r="A2487" s="189"/>
      <c r="B2487" s="197"/>
      <c r="C2487" s="189"/>
      <c r="D2487" s="189"/>
      <c r="E2487" s="189"/>
      <c r="F2487" s="189"/>
      <c r="G2487" s="189"/>
      <c r="H2487" s="196" t="s">
        <v>29</v>
      </c>
      <c r="I2487" s="196"/>
      <c r="J2487" s="196" t="s">
        <v>29</v>
      </c>
      <c r="K2487" s="196"/>
      <c r="L2487" s="196" t="str">
        <v/>
      </c>
      <c r="M2487" s="196"/>
    </row>
    <row r="2488" spans="1:13" ht="14.4" x14ac:dyDescent="0.3">
      <c r="A2488" s="189"/>
      <c r="B2488" s="197"/>
      <c r="C2488" s="189"/>
      <c r="D2488" s="189"/>
      <c r="E2488" s="189"/>
      <c r="F2488" s="189"/>
      <c r="G2488" s="189"/>
      <c r="H2488" s="196" t="s">
        <v>29</v>
      </c>
      <c r="I2488" s="196"/>
      <c r="J2488" s="196" t="s">
        <v>29</v>
      </c>
      <c r="K2488" s="196"/>
      <c r="L2488" s="196" t="str">
        <v/>
      </c>
      <c r="M2488" s="196"/>
    </row>
    <row r="2489" spans="1:13" ht="14.4" x14ac:dyDescent="0.3">
      <c r="A2489" s="189"/>
      <c r="B2489" s="197"/>
      <c r="C2489" s="189"/>
      <c r="D2489" s="189"/>
      <c r="E2489" s="189"/>
      <c r="F2489" s="189"/>
      <c r="G2489" s="189"/>
      <c r="H2489" s="196" t="s">
        <v>29</v>
      </c>
      <c r="I2489" s="196"/>
      <c r="J2489" s="196" t="s">
        <v>29</v>
      </c>
      <c r="K2489" s="196"/>
      <c r="L2489" s="196" t="str">
        <v/>
      </c>
      <c r="M2489" s="196"/>
    </row>
    <row r="2490" spans="1:13" ht="14.4" x14ac:dyDescent="0.3">
      <c r="A2490" s="189"/>
      <c r="B2490" s="197"/>
      <c r="C2490" s="189"/>
      <c r="D2490" s="189"/>
      <c r="E2490" s="189"/>
      <c r="F2490" s="189"/>
      <c r="G2490" s="189"/>
      <c r="H2490" s="196" t="s">
        <v>29</v>
      </c>
      <c r="I2490" s="196"/>
      <c r="J2490" s="196" t="s">
        <v>29</v>
      </c>
      <c r="K2490" s="196"/>
      <c r="L2490" s="196" t="str">
        <v/>
      </c>
      <c r="M2490" s="196"/>
    </row>
    <row r="2491" spans="1:13" ht="14.4" x14ac:dyDescent="0.3">
      <c r="A2491" s="189"/>
      <c r="B2491" s="197"/>
      <c r="C2491" s="189"/>
      <c r="D2491" s="189"/>
      <c r="E2491" s="189"/>
      <c r="F2491" s="189"/>
      <c r="G2491" s="189"/>
      <c r="H2491" s="196" t="s">
        <v>29</v>
      </c>
      <c r="I2491" s="196"/>
      <c r="J2491" s="196" t="s">
        <v>29</v>
      </c>
      <c r="K2491" s="196"/>
      <c r="L2491" s="196" t="str">
        <v/>
      </c>
      <c r="M2491" s="196"/>
    </row>
    <row r="2492" spans="1:13" ht="14.4" x14ac:dyDescent="0.3">
      <c r="A2492" s="189"/>
      <c r="B2492" s="197"/>
      <c r="C2492" s="189"/>
      <c r="D2492" s="189"/>
      <c r="E2492" s="189"/>
      <c r="F2492" s="189"/>
      <c r="G2492" s="189"/>
      <c r="H2492" s="196" t="s">
        <v>29</v>
      </c>
      <c r="I2492" s="196"/>
      <c r="J2492" s="196" t="s">
        <v>29</v>
      </c>
      <c r="K2492" s="196"/>
      <c r="L2492" s="196" t="str">
        <v/>
      </c>
      <c r="M2492" s="196"/>
    </row>
    <row r="2493" spans="1:13" ht="14.4" x14ac:dyDescent="0.3">
      <c r="A2493" s="189"/>
      <c r="B2493" s="197"/>
      <c r="C2493" s="189"/>
      <c r="D2493" s="189"/>
      <c r="E2493" s="189"/>
      <c r="F2493" s="189"/>
      <c r="G2493" s="189"/>
      <c r="H2493" s="196" t="s">
        <v>29</v>
      </c>
      <c r="I2493" s="196"/>
      <c r="J2493" s="196" t="s">
        <v>29</v>
      </c>
      <c r="K2493" s="196"/>
      <c r="L2493" s="196" t="str">
        <v/>
      </c>
      <c r="M2493" s="196"/>
    </row>
    <row r="2494" spans="1:13" ht="14.4" x14ac:dyDescent="0.3">
      <c r="A2494" s="189"/>
      <c r="B2494" s="197"/>
      <c r="C2494" s="189"/>
      <c r="D2494" s="189"/>
      <c r="E2494" s="189"/>
      <c r="F2494" s="189"/>
      <c r="G2494" s="189"/>
      <c r="H2494" s="196" t="s">
        <v>29</v>
      </c>
      <c r="I2494" s="196"/>
      <c r="J2494" s="196" t="s">
        <v>29</v>
      </c>
      <c r="K2494" s="196"/>
      <c r="L2494" s="196" t="str">
        <v/>
      </c>
      <c r="M2494" s="196"/>
    </row>
    <row r="2495" spans="1:13" ht="14.4" x14ac:dyDescent="0.3">
      <c r="A2495" s="189"/>
      <c r="B2495" s="197"/>
      <c r="C2495" s="189"/>
      <c r="D2495" s="189"/>
      <c r="E2495" s="189"/>
      <c r="F2495" s="189"/>
      <c r="G2495" s="189"/>
      <c r="H2495" s="196" t="s">
        <v>29</v>
      </c>
      <c r="I2495" s="196"/>
      <c r="J2495" s="196" t="s">
        <v>29</v>
      </c>
      <c r="K2495" s="196"/>
      <c r="L2495" s="196" t="str">
        <v/>
      </c>
      <c r="M2495" s="196"/>
    </row>
    <row r="2496" spans="1:13" ht="14.4" x14ac:dyDescent="0.3">
      <c r="A2496" s="189"/>
      <c r="B2496" s="197"/>
      <c r="C2496" s="189"/>
      <c r="D2496" s="189"/>
      <c r="E2496" s="189"/>
      <c r="F2496" s="189"/>
      <c r="G2496" s="189"/>
      <c r="H2496" s="196" t="s">
        <v>29</v>
      </c>
      <c r="I2496" s="196"/>
      <c r="J2496" s="196" t="s">
        <v>29</v>
      </c>
      <c r="K2496" s="196"/>
      <c r="L2496" s="196" t="str">
        <v/>
      </c>
      <c r="M2496" s="196"/>
    </row>
    <row r="2497" spans="1:13" ht="14.4" x14ac:dyDescent="0.3">
      <c r="A2497" s="189"/>
      <c r="B2497" s="197"/>
      <c r="C2497" s="189"/>
      <c r="D2497" s="189"/>
      <c r="E2497" s="189"/>
      <c r="F2497" s="189"/>
      <c r="G2497" s="189"/>
      <c r="H2497" s="196" t="s">
        <v>29</v>
      </c>
      <c r="I2497" s="196"/>
      <c r="J2497" s="196" t="s">
        <v>29</v>
      </c>
      <c r="K2497" s="196"/>
      <c r="L2497" s="196" t="str">
        <v/>
      </c>
      <c r="M2497" s="196"/>
    </row>
    <row r="2498" spans="1:13" ht="14.4" x14ac:dyDescent="0.3">
      <c r="A2498" s="189"/>
      <c r="B2498" s="197"/>
      <c r="C2498" s="189"/>
      <c r="D2498" s="189"/>
      <c r="E2498" s="189"/>
      <c r="F2498" s="189"/>
      <c r="G2498" s="189"/>
      <c r="H2498" s="196" t="s">
        <v>29</v>
      </c>
      <c r="I2498" s="196"/>
      <c r="J2498" s="196" t="s">
        <v>29</v>
      </c>
      <c r="K2498" s="196"/>
      <c r="L2498" s="196" t="str">
        <v/>
      </c>
      <c r="M2498" s="196"/>
    </row>
    <row r="2499" spans="1:13" ht="14.4" x14ac:dyDescent="0.3">
      <c r="A2499" s="189"/>
      <c r="B2499" s="197"/>
      <c r="C2499" s="189"/>
      <c r="D2499" s="189"/>
      <c r="E2499" s="189"/>
      <c r="F2499" s="189"/>
      <c r="G2499" s="189"/>
      <c r="H2499" s="196" t="s">
        <v>29</v>
      </c>
      <c r="I2499" s="196"/>
      <c r="J2499" s="196" t="s">
        <v>29</v>
      </c>
      <c r="K2499" s="196"/>
      <c r="L2499" s="196" t="str">
        <v/>
      </c>
      <c r="M2499" s="196"/>
    </row>
    <row r="2500" spans="1:13" ht="14.4" x14ac:dyDescent="0.3">
      <c r="A2500" s="189"/>
      <c r="B2500" s="197"/>
      <c r="C2500" s="189"/>
      <c r="D2500" s="189"/>
      <c r="E2500" s="189"/>
      <c r="F2500" s="189"/>
      <c r="G2500" s="189"/>
      <c r="H2500" s="196" t="s">
        <v>29</v>
      </c>
      <c r="I2500" s="196"/>
      <c r="J2500" s="196" t="s">
        <v>29</v>
      </c>
      <c r="K2500" s="196"/>
      <c r="L2500" s="196" t="str">
        <v/>
      </c>
      <c r="M2500" s="196"/>
    </row>
  </sheetData>
  <conditionalFormatting sqref="B1">
    <cfRule type="expression" dxfId="2" priority="1">
      <formula>MATCH(B1,$J:$J,0)</formula>
    </cfRule>
  </conditionalFormatting>
  <conditionalFormatting sqref="C1:C2500">
    <cfRule type="cellIs" dxfId="1" priority="2" operator="lessThan">
      <formula>5</formula>
    </cfRule>
    <cfRule type="cellIs" dxfId="0" priority="3" operator="greaterThan">
      <formula>18</formula>
    </cfRule>
  </conditionalFormatting>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2025-02-14T20:07:54Z</dcterms:created>
  <dcterms:modified xsi:type="dcterms:W3CDTF">2025-02-14T21:12:24Z</dcterms:modified>
</cp:coreProperties>
</file>